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dra.ottaiano\Desktop\"/>
    </mc:Choice>
  </mc:AlternateContent>
  <xr:revisionPtr revIDLastSave="0" documentId="8_{45CAF961-FF2A-4EE5-A898-5ADC206DA1E5}" xr6:coauthVersionLast="47" xr6:coauthVersionMax="47" xr10:uidLastSave="{00000000-0000-0000-0000-000000000000}"/>
  <bookViews>
    <workbookView xWindow="-120" yWindow="-120" windowWidth="29040" windowHeight="15840" xr2:uid="{2A92498A-99B7-4405-9B6D-43EDB34648B2}"/>
  </bookViews>
  <sheets>
    <sheet name="FOLHA PAGAMENTO 08-2024" sheetId="1" r:id="rId1"/>
  </sheets>
  <definedNames>
    <definedName name="_xlnm._FilterDatabase" localSheetId="0" hidden="1">'FOLHA PAGAMENTO 08-2024'!$C$10:$M$34</definedName>
    <definedName name="_xlnm.Print_Area" localSheetId="0">Tabela25456[#All]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1" i="1" l="1"/>
  <c r="R11" i="1"/>
  <c r="S11" i="1" s="1"/>
  <c r="N12" i="1"/>
  <c r="T12" i="1" s="1"/>
  <c r="S12" i="1"/>
  <c r="N13" i="1"/>
  <c r="T13" i="1" s="1"/>
  <c r="O13" i="1"/>
  <c r="S13" i="1"/>
  <c r="N14" i="1"/>
  <c r="T14" i="1" s="1"/>
  <c r="S14" i="1"/>
  <c r="N15" i="1"/>
  <c r="S15" i="1"/>
  <c r="T15" i="1"/>
  <c r="N16" i="1"/>
  <c r="R16" i="1"/>
  <c r="S16" i="1" s="1"/>
  <c r="T16" i="1" s="1"/>
  <c r="N17" i="1"/>
  <c r="R17" i="1"/>
  <c r="S17" i="1" s="1"/>
  <c r="N18" i="1"/>
  <c r="R18" i="1"/>
  <c r="S18" i="1" s="1"/>
  <c r="N19" i="1"/>
  <c r="R19" i="1"/>
  <c r="S19" i="1" s="1"/>
  <c r="N20" i="1"/>
  <c r="R20" i="1"/>
  <c r="S20" i="1"/>
  <c r="T20" i="1"/>
  <c r="N21" i="1"/>
  <c r="T21" i="1" s="1"/>
  <c r="S21" i="1"/>
  <c r="K22" i="1"/>
  <c r="N22" i="1" s="1"/>
  <c r="T22" i="1" s="1"/>
  <c r="M22" i="1"/>
  <c r="Q22" i="1"/>
  <c r="R22" i="1"/>
  <c r="S22" i="1"/>
  <c r="N23" i="1"/>
  <c r="R23" i="1"/>
  <c r="S23" i="1" s="1"/>
  <c r="K24" i="1"/>
  <c r="N24" i="1" s="1"/>
  <c r="Q24" i="1"/>
  <c r="R24" i="1"/>
  <c r="N25" i="1"/>
  <c r="S25" i="1"/>
  <c r="N26" i="1"/>
  <c r="S26" i="1"/>
  <c r="N27" i="1"/>
  <c r="R27" i="1"/>
  <c r="S27" i="1" s="1"/>
  <c r="N28" i="1"/>
  <c r="R28" i="1"/>
  <c r="S28" i="1"/>
  <c r="T28" i="1" s="1"/>
  <c r="N29" i="1"/>
  <c r="T29" i="1" s="1"/>
  <c r="S29" i="1"/>
  <c r="N30" i="1"/>
  <c r="S30" i="1"/>
  <c r="N31" i="1"/>
  <c r="S31" i="1"/>
  <c r="N32" i="1"/>
  <c r="S32" i="1"/>
  <c r="N33" i="1"/>
  <c r="R33" i="1"/>
  <c r="S33" i="1" s="1"/>
  <c r="T33" i="1" s="1"/>
  <c r="N34" i="1"/>
  <c r="O34" i="1"/>
  <c r="S34" i="1" s="1"/>
  <c r="T34" i="1" s="1"/>
  <c r="Q34" i="1"/>
  <c r="N35" i="1"/>
  <c r="R35" i="1"/>
  <c r="S35" i="1" s="1"/>
  <c r="N36" i="1"/>
  <c r="S36" i="1"/>
  <c r="N37" i="1"/>
  <c r="T37" i="1" s="1"/>
  <c r="S37" i="1"/>
  <c r="N38" i="1"/>
  <c r="T38" i="1" s="1"/>
  <c r="S38" i="1"/>
  <c r="N39" i="1"/>
  <c r="T39" i="1" s="1"/>
  <c r="S39" i="1"/>
  <c r="N40" i="1"/>
  <c r="T40" i="1" s="1"/>
  <c r="S40" i="1"/>
  <c r="N41" i="1"/>
  <c r="T41" i="1" s="1"/>
  <c r="S41" i="1"/>
  <c r="N42" i="1"/>
  <c r="R42" i="1"/>
  <c r="S42" i="1"/>
  <c r="T42" i="1"/>
  <c r="K43" i="1"/>
  <c r="Q43" i="1"/>
  <c r="S43" i="1" s="1"/>
  <c r="N44" i="1"/>
  <c r="O44" i="1"/>
  <c r="Q44" i="1"/>
  <c r="N45" i="1"/>
  <c r="S45" i="1"/>
  <c r="M46" i="1"/>
  <c r="N46" i="1"/>
  <c r="R46" i="1"/>
  <c r="S46" i="1" s="1"/>
  <c r="N47" i="1"/>
  <c r="T47" i="1" s="1"/>
  <c r="R47" i="1"/>
  <c r="S47" i="1"/>
  <c r="N48" i="1"/>
  <c r="S48" i="1"/>
  <c r="N49" i="1"/>
  <c r="S49" i="1"/>
  <c r="T49" i="1"/>
  <c r="N50" i="1"/>
  <c r="S50" i="1"/>
  <c r="T50" i="1"/>
  <c r="N51" i="1"/>
  <c r="T51" i="1" s="1"/>
  <c r="S51" i="1"/>
  <c r="N52" i="1"/>
  <c r="T52" i="1" s="1"/>
  <c r="S52" i="1"/>
  <c r="N53" i="1"/>
  <c r="T53" i="1" s="1"/>
  <c r="S53" i="1"/>
  <c r="N54" i="1"/>
  <c r="S54" i="1"/>
  <c r="T54" i="1"/>
  <c r="I55" i="1"/>
  <c r="J55" i="1"/>
  <c r="L55" i="1"/>
  <c r="M55" i="1"/>
  <c r="P55" i="1"/>
  <c r="U55" i="1"/>
  <c r="T24" i="1" l="1"/>
  <c r="T32" i="1"/>
  <c r="T26" i="1"/>
  <c r="T31" i="1"/>
  <c r="T48" i="1"/>
  <c r="T36" i="1"/>
  <c r="T30" i="1"/>
  <c r="S24" i="1"/>
  <c r="K55" i="1"/>
  <c r="T25" i="1"/>
  <c r="T19" i="1"/>
  <c r="O55" i="1"/>
  <c r="T46" i="1"/>
  <c r="T23" i="1"/>
  <c r="T45" i="1"/>
  <c r="S44" i="1"/>
  <c r="T44" i="1" s="1"/>
  <c r="T27" i="1"/>
  <c r="T11" i="1"/>
  <c r="S55" i="1"/>
  <c r="T18" i="1"/>
  <c r="T35" i="1"/>
  <c r="T17" i="1"/>
  <c r="R55" i="1"/>
  <c r="Q55" i="1"/>
  <c r="N43" i="1"/>
  <c r="T55" i="1" l="1"/>
  <c r="N55" i="1"/>
  <c r="T43" i="1"/>
</calcChain>
</file>

<file path=xl/sharedStrings.xml><?xml version="1.0" encoding="utf-8"?>
<sst xmlns="http://schemas.openxmlformats.org/spreadsheetml/2006/main" count="300" uniqueCount="169">
  <si>
    <t>-</t>
  </si>
  <si>
    <t>CONSELHO ADMINISTRATIVO</t>
  </si>
  <si>
    <t>ATA DE 20/01/2023</t>
  </si>
  <si>
    <t>2173 de 03/02/2023</t>
  </si>
  <si>
    <t>CONSELHEIRO (A) ADMINISRAÇÃO - Biênio 2023/2024</t>
  </si>
  <si>
    <t>RICARDO MACHADO MAGNINO</t>
  </si>
  <si>
    <t>Estatuto</t>
  </si>
  <si>
    <t>POLLYANA SILVA DE ANDRADE</t>
  </si>
  <si>
    <t>JOSE JORGE DA SILVA E OLIVEIRA</t>
  </si>
  <si>
    <t>CONSELHO FISCAL</t>
  </si>
  <si>
    <t>01/07/2022</t>
  </si>
  <si>
    <t>ATA DE 26/04/2023</t>
  </si>
  <si>
    <t>2234 de 23/06/2023</t>
  </si>
  <si>
    <t>CONSELHEIRO (A) FISCAL - Biênio 2023/2024</t>
  </si>
  <si>
    <t>TACIANA DE CASTRO BALDUINO</t>
  </si>
  <si>
    <t>01/06/2023</t>
  </si>
  <si>
    <t>ELMIRA FUZINAGA PEREIRA</t>
  </si>
  <si>
    <t>BIANCA BRITO DO AMARAL</t>
  </si>
  <si>
    <t>DIRETORIA ADMINISTRATIVA</t>
  </si>
  <si>
    <t>37/2023</t>
  </si>
  <si>
    <t>2238 de 30/06/2023</t>
  </si>
  <si>
    <t>ASSESSOR (A) DE COMUNICAÇÃO</t>
  </si>
  <si>
    <t>WEILLER APARECIDO FARIA DOS SANTOS</t>
  </si>
  <si>
    <t>Comissionado (A)</t>
  </si>
  <si>
    <t>DIRETORIA SOCIAL</t>
  </si>
  <si>
    <t>001/1995 de 27/03/1995</t>
  </si>
  <si>
    <t>COORDENADOR (A) DE VISTORIA DE HABITAÇÃO SOCIAL</t>
  </si>
  <si>
    <t>VERA LUCIA DOS SANTOS</t>
  </si>
  <si>
    <t>Concursado (A)</t>
  </si>
  <si>
    <t>002/2001 de 30/06/2001</t>
  </si>
  <si>
    <t>ASSESSOR (A) III</t>
  </si>
  <si>
    <t>THIAGO VITOR PENA</t>
  </si>
  <si>
    <t>ATA</t>
  </si>
  <si>
    <t>1922 de 03/02/2021</t>
  </si>
  <si>
    <t>TATIANA HELOISA DO AMARAL</t>
  </si>
  <si>
    <t>PRESIDÊNCIA</t>
  </si>
  <si>
    <t>49/2023</t>
  </si>
  <si>
    <t>2272 de 25/08/2023</t>
  </si>
  <si>
    <t>ASSESSOR (A) I</t>
  </si>
  <si>
    <t>SONIA MARIA DAS POMBAS</t>
  </si>
  <si>
    <t>1944 de 07/04/2021</t>
  </si>
  <si>
    <t>DIRETOR (A) ADMINISTRATIVO (A)</t>
  </si>
  <si>
    <t>SHEILA MARTINS ARANTES</t>
  </si>
  <si>
    <t>45/2023</t>
  </si>
  <si>
    <t>SANDY WILSON DE OLIVEIRA</t>
  </si>
  <si>
    <t>002/1995 de 27/06/1995</t>
  </si>
  <si>
    <t>CONTROLADOR (A)</t>
  </si>
  <si>
    <t>SANDRA MARIA OTTAIANO</t>
  </si>
  <si>
    <t>26/2022</t>
  </si>
  <si>
    <t>2144 de 30/11/2022</t>
  </si>
  <si>
    <t>VICE PRESIDENTE</t>
  </si>
  <si>
    <t>POLIANA HELENA DE SOUZA</t>
  </si>
  <si>
    <t>DIRETORIA EMPREENDIMENTOS E EXPANSÃO</t>
  </si>
  <si>
    <t>09/2024</t>
  </si>
  <si>
    <t>2360 de 11/01/2024</t>
  </si>
  <si>
    <t>ASSESSOR (A) ESPECIAL DE PROJETOS</t>
  </si>
  <si>
    <t>PAULO SERGIO SARTORATO JUNIOR</t>
  </si>
  <si>
    <t>20/2024</t>
  </si>
  <si>
    <t>2455 de 03/06/2024</t>
  </si>
  <si>
    <t>ASSESSOR (A) RECURSOS HUMANOS</t>
  </si>
  <si>
    <t>PAULA FONSECA VIEIRA</t>
  </si>
  <si>
    <t>DIRETORIA ASSUNTOS JURÍDICOS</t>
  </si>
  <si>
    <t>10/2022</t>
  </si>
  <si>
    <t>2103 de 19/08/2022</t>
  </si>
  <si>
    <t>ASSESSOR (A) JURIDICO</t>
  </si>
  <si>
    <t>PATRICIA CORDEIRO LIMA MOTA BENZE</t>
  </si>
  <si>
    <t>23/2024</t>
  </si>
  <si>
    <t>2478 de 04/07/2024</t>
  </si>
  <si>
    <t>ASSESSOR (A) DE APOIO AO GABINETE II</t>
  </si>
  <si>
    <t>NELCIVAN SOUZA ALMEIDA</t>
  </si>
  <si>
    <t>DIRETORIA FINANCEIRA</t>
  </si>
  <si>
    <t>17/2023</t>
  </si>
  <si>
    <t>2228 de 06/06/2023</t>
  </si>
  <si>
    <t>CHEFE DE DEPARTAMENTO DE CONTABILIDADE</t>
  </si>
  <si>
    <t>NAILTON APARECIDO DA SILVA</t>
  </si>
  <si>
    <t>30/2023</t>
  </si>
  <si>
    <t>ASSISTENTE JURIDICO</t>
  </si>
  <si>
    <t>MICHEL PLATINNY DUARTE ARAUJO</t>
  </si>
  <si>
    <t>SERVIÇOS GERAIS</t>
  </si>
  <si>
    <t>MARIA DAS GRACAS RODRIGUES</t>
  </si>
  <si>
    <t>24/2024</t>
  </si>
  <si>
    <t>2484 de 12/07/2024</t>
  </si>
  <si>
    <t>CHEFE DE DEPARTAMENTO DE COMPRAS E LICITAÇÕES</t>
  </si>
  <si>
    <t>MARIA APARECIDA ERREIRA ALVES</t>
  </si>
  <si>
    <t>02/2023</t>
  </si>
  <si>
    <t>2164 de 13/01/2023</t>
  </si>
  <si>
    <t>ASSESSOR (A) SOCIAL</t>
  </si>
  <si>
    <t>LUCIANA FRANCA ALTEFF</t>
  </si>
  <si>
    <t>38/2023</t>
  </si>
  <si>
    <t>LUCIANA BETTINI PIRES DE MELLO</t>
  </si>
  <si>
    <t>19/2022</t>
  </si>
  <si>
    <t>2123 de 04/10/2022</t>
  </si>
  <si>
    <t>CHEFE DE DEPARTAMENTO DE ENGENHARIA</t>
  </si>
  <si>
    <t>LUCAS OLIMPIO SILVA</t>
  </si>
  <si>
    <t>PSICÓLOGO (A)</t>
  </si>
  <si>
    <t>LUANA DALAVA MARRA</t>
  </si>
  <si>
    <t>44/2023</t>
  </si>
  <si>
    <t>DIRETOR (A) FINANCEIRO</t>
  </si>
  <si>
    <t>JOEL NATALINO DUTRA</t>
  </si>
  <si>
    <t>48/2023</t>
  </si>
  <si>
    <t>2264 de 11/08/2023</t>
  </si>
  <si>
    <t>ASSESSOR (A) DE EMPREENDIMENTOS E REGULARIZAÇÃO FUNDIÁRIA</t>
  </si>
  <si>
    <t>JOÃO VICTOR SILVA BORGES</t>
  </si>
  <si>
    <t>2202 de 14/04/2023</t>
  </si>
  <si>
    <t>PRESIDENTE</t>
  </si>
  <si>
    <t>GLEDSTON MORELI DA SILVA</t>
  </si>
  <si>
    <t>41/2023</t>
  </si>
  <si>
    <t>SUPERINDENTE RELAÇÕES SOCIAIS</t>
  </si>
  <si>
    <t>GICELE GOMES</t>
  </si>
  <si>
    <t>1626 de 12/02/2021</t>
  </si>
  <si>
    <t>DIRETOR (A) EMPREENDIMENTOS E EXPANSÃO</t>
  </si>
  <si>
    <t>GABRIELA FARIA CECILIO</t>
  </si>
  <si>
    <t>Cedido (A)</t>
  </si>
  <si>
    <t>ASSISTENTE DE COMPRAS</t>
  </si>
  <si>
    <t>FABIANA DE CASTRO BALDUINO</t>
  </si>
  <si>
    <t>24/2022</t>
  </si>
  <si>
    <t>2136 de 09/11/2022</t>
  </si>
  <si>
    <t>ASSESSOR (A) II</t>
  </si>
  <si>
    <t>ERIVELTON DOS SANTOS CONCEIÇÃO</t>
  </si>
  <si>
    <t>ELIZABETH DE ALMEIDA PINTO</t>
  </si>
  <si>
    <t>001/2001 de 13/03/2001</t>
  </si>
  <si>
    <t>DULCE HELENA SILVA</t>
  </si>
  <si>
    <t>DONIZETTI SILVA</t>
  </si>
  <si>
    <t>56/2023</t>
  </si>
  <si>
    <t>2305 de 17/10/2023</t>
  </si>
  <si>
    <t>CHEFE DE DEPARTAMENTO DE HABITAÇÃO E RELAÇÕES INSTITUICIONAIS</t>
  </si>
  <si>
    <t>DIOGO ANTONIO SILVA MEDEIROS FELIPE</t>
  </si>
  <si>
    <t>DIRETOR (A) SOCIAL</t>
  </si>
  <si>
    <t>DEBORA PEGORARI RIBEIRO AMARAL</t>
  </si>
  <si>
    <t>28/2023</t>
  </si>
  <si>
    <t>ANTONIO MARCOS SILVERIO</t>
  </si>
  <si>
    <t>30/2022</t>
  </si>
  <si>
    <t>SECRETÁRIA EXECUTIVA</t>
  </si>
  <si>
    <t>ANDREIA APARECIDA BARBOSA</t>
  </si>
  <si>
    <t>40/2023</t>
  </si>
  <si>
    <t>ALINE DE ALMEIDA LIMA</t>
  </si>
  <si>
    <t>08/2022</t>
  </si>
  <si>
    <t>2100 de 10/08/2022</t>
  </si>
  <si>
    <t>DIRETOR (A) ASSUNTOS JURIDICOS</t>
  </si>
  <si>
    <t>AIRTON RUSSO MANO MARTINS JUNIOR</t>
  </si>
  <si>
    <t>17/2024</t>
  </si>
  <si>
    <t>2421 de 11/04/2024</t>
  </si>
  <si>
    <t>ASSESSOR (A) DE APOIO AO GABINETE I</t>
  </si>
  <si>
    <t>ADYLLIO DANIEL ALVES QUEIROZ</t>
  </si>
  <si>
    <t xml:space="preserve">FGTS </t>
  </si>
  <si>
    <t>Líquido</t>
  </si>
  <si>
    <t>Total Descontos</t>
  </si>
  <si>
    <t>Outros Descontos</t>
  </si>
  <si>
    <t>Adiantamento Férias (Desconto)</t>
  </si>
  <si>
    <t>IRRF</t>
  </si>
  <si>
    <t>Total Remunerações</t>
  </si>
  <si>
    <t xml:space="preserve">Gratificações </t>
  </si>
  <si>
    <t>Quinquênios</t>
  </si>
  <si>
    <t>Férias</t>
  </si>
  <si>
    <t>Salário Maternidade</t>
  </si>
  <si>
    <t>Salário Base</t>
  </si>
  <si>
    <t>Departamento</t>
  </si>
  <si>
    <t>Data Admissão</t>
  </si>
  <si>
    <t>Portaria</t>
  </si>
  <si>
    <t>Publicação Porta Voz</t>
  </si>
  <si>
    <t>Cargo - Função</t>
  </si>
  <si>
    <t>Colaborador / Servidor</t>
  </si>
  <si>
    <t>Nomeação Posse</t>
  </si>
  <si>
    <t>Matricula</t>
  </si>
  <si>
    <t>COHAGRA CIA. HABITACIONAL DO VALE DO RIO GRANDE S/A</t>
  </si>
  <si>
    <t>CNPJ: 23.207.282/0001-44</t>
  </si>
  <si>
    <t>RESUMO FOLHA PAGAMENTO</t>
  </si>
  <si>
    <t>AGOSTO DE 2024</t>
  </si>
  <si>
    <t>INSS / IPSERV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</si>
</sst>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0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4"/>
      <name val="Arial"/>
      <family val="2"/>
    </font>
    <font>
      <b/>
      <sz val="14"/>
      <color theme="1" tint="4.9989318521683403E-2"/>
      <name val="Arial"/>
      <family val="2"/>
    </font>
    <font>
      <b/>
      <i/>
      <sz val="14"/>
      <color theme="1" tint="4.9989318521683403E-2"/>
      <name val="Arial"/>
      <family val="2"/>
    </font>
    <font>
      <b/>
      <sz val="12.5"/>
      <name val="Arial"/>
      <family val="2"/>
    </font>
    <font>
      <sz val="12.5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164" fontId="2" fillId="0" borderId="0" xfId="0" applyNumberFormat="1" applyFont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right" vertical="center"/>
    </xf>
    <xf numFmtId="49" fontId="1" fillId="0" borderId="2" xfId="0" applyNumberFormat="1" applyFont="1" applyBorder="1" applyAlignment="1">
      <alignment vertical="center"/>
    </xf>
    <xf numFmtId="49" fontId="1" fillId="0" borderId="2" xfId="0" applyNumberFormat="1" applyFont="1" applyBorder="1" applyAlignment="1">
      <alignment vertical="center" wrapText="1"/>
    </xf>
    <xf numFmtId="3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right" vertical="center"/>
    </xf>
    <xf numFmtId="164" fontId="1" fillId="0" borderId="2" xfId="0" applyNumberFormat="1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right" vertical="center"/>
    </xf>
    <xf numFmtId="49" fontId="1" fillId="0" borderId="3" xfId="0" applyNumberFormat="1" applyFont="1" applyBorder="1" applyAlignment="1">
      <alignment vertical="center"/>
    </xf>
    <xf numFmtId="49" fontId="1" fillId="0" borderId="3" xfId="0" applyNumberFormat="1" applyFont="1" applyBorder="1" applyAlignment="1">
      <alignment vertical="center" wrapText="1"/>
    </xf>
    <xf numFmtId="3" fontId="1" fillId="0" borderId="3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4" fontId="1" fillId="0" borderId="3" xfId="0" applyNumberFormat="1" applyFont="1" applyBorder="1" applyAlignment="1">
      <alignment horizontal="right" vertical="center"/>
    </xf>
    <xf numFmtId="164" fontId="1" fillId="0" borderId="3" xfId="0" applyNumberFormat="1" applyFont="1" applyBorder="1" applyAlignment="1">
      <alignment vertical="center"/>
    </xf>
    <xf numFmtId="164" fontId="2" fillId="0" borderId="3" xfId="0" applyNumberFormat="1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49" fontId="1" fillId="0" borderId="4" xfId="0" applyNumberFormat="1" applyFont="1" applyBorder="1" applyAlignment="1">
      <alignment vertical="center" wrapText="1"/>
    </xf>
    <xf numFmtId="3" fontId="2" fillId="0" borderId="4" xfId="0" applyNumberFormat="1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vertical="center"/>
    </xf>
    <xf numFmtId="4" fontId="1" fillId="0" borderId="4" xfId="0" applyNumberFormat="1" applyFont="1" applyBorder="1" applyAlignment="1">
      <alignment horizontal="right" vertical="center"/>
    </xf>
    <xf numFmtId="164" fontId="2" fillId="0" borderId="4" xfId="0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vertical="center"/>
    </xf>
    <xf numFmtId="164" fontId="9" fillId="0" borderId="3" xfId="0" applyNumberFormat="1" applyFont="1" applyBorder="1" applyAlignment="1">
      <alignment vertical="center"/>
    </xf>
    <xf numFmtId="164" fontId="9" fillId="0" borderId="2" xfId="0" applyNumberFormat="1" applyFont="1" applyBorder="1" applyAlignment="1">
      <alignment vertical="center"/>
    </xf>
    <xf numFmtId="164" fontId="9" fillId="0" borderId="4" xfId="0" applyNumberFormat="1" applyFont="1" applyBorder="1" applyAlignment="1">
      <alignment vertical="center"/>
    </xf>
    <xf numFmtId="49" fontId="5" fillId="2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17" fontId="4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26"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hair">
          <color rgb="FF000000"/>
        </top>
        <bottom style="hair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#,##0.00_ ;[Red]\-#,##0.00\ 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hair">
          <color rgb="FF000000"/>
        </left>
        <right/>
        <top style="hair">
          <color rgb="FF000000"/>
        </top>
        <bottom style="hair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#,##0.00_ ;[Red]\-#,##0.00\ 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hair">
          <color rgb="FF000000"/>
        </left>
        <right/>
        <top style="hair">
          <color rgb="FF000000"/>
        </top>
        <bottom style="hair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#,##0.00_ ;[Red]\-#,##0.00\ 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hair">
          <color rgb="FF000000"/>
        </left>
        <right style="hair">
          <color rgb="FF000000"/>
        </right>
        <top style="hair">
          <color rgb="FF000000"/>
        </top>
        <bottom style="hair">
          <color rgb="FF000000"/>
        </bottom>
        <horizontal style="hair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#,##0.00_ ;[Red]\-#,##0.00\ 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hair">
          <color rgb="FF000000"/>
        </left>
        <right style="hair">
          <color rgb="FF000000"/>
        </right>
        <top style="hair">
          <color rgb="FF000000"/>
        </top>
        <bottom style="hair">
          <color rgb="FF000000"/>
        </bottom>
        <horizontal style="hair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#,##0.00_ ;[Red]\-#,##0.00\ 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hair">
          <color rgb="FF000000"/>
        </left>
        <right style="hair">
          <color rgb="FF000000"/>
        </right>
        <top style="hair">
          <color rgb="FF000000"/>
        </top>
        <bottom style="hair">
          <color rgb="FF000000"/>
        </bottom>
        <horizontal style="hair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#,##0.00_ ;[Red]\-#,##0.00\ 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hair">
          <color rgb="FF000000"/>
        </left>
        <right style="hair">
          <color rgb="FF000000"/>
        </right>
        <top style="hair">
          <color rgb="FF000000"/>
        </top>
        <bottom style="hair">
          <color rgb="FF000000"/>
        </bottom>
        <horizontal style="hair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#,##0.00_ ;[Red]\-#,##0.00\ 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hair">
          <color rgb="FF000000"/>
        </left>
        <right style="hair">
          <color rgb="FF000000"/>
        </right>
        <top style="hair">
          <color rgb="FF000000"/>
        </top>
        <bottom style="hair">
          <color rgb="FF000000"/>
        </bottom>
        <horizontal style="hair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#,##0.00_ ;[Red]\-#,##0.00\ 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hair">
          <color rgb="FF000000"/>
        </left>
        <right style="hair">
          <color rgb="FF000000"/>
        </right>
        <top style="hair">
          <color rgb="FF000000"/>
        </top>
        <bottom style="hair">
          <color rgb="FF000000"/>
        </bottom>
        <horizontal style="hair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hair">
          <color rgb="FF000000"/>
        </left>
        <right style="hair">
          <color rgb="FF000000"/>
        </right>
        <top style="hair">
          <color rgb="FF000000"/>
        </top>
        <bottom style="hair">
          <color rgb="FF000000"/>
        </bottom>
        <horizontal style="hair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hair">
          <color rgb="FF000000"/>
        </left>
        <right style="hair">
          <color rgb="FF000000"/>
        </right>
        <top style="hair">
          <color rgb="FF000000"/>
        </top>
        <bottom style="hair">
          <color rgb="FF000000"/>
        </bottom>
        <horizontal style="hair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hair">
          <color rgb="FF000000"/>
        </left>
        <right style="hair">
          <color rgb="FF000000"/>
        </right>
        <top style="hair">
          <color rgb="FF000000"/>
        </top>
        <bottom style="hair">
          <color rgb="FF000000"/>
        </bottom>
        <horizontal style="hair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#,##0.00_ ;[Red]\-#,##0.00\ 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hair">
          <color rgb="FF000000"/>
        </left>
        <right style="hair">
          <color rgb="FF000000"/>
        </right>
        <top style="hair">
          <color rgb="FF000000"/>
        </top>
        <bottom style="hair">
          <color rgb="FF000000"/>
        </bottom>
        <horizontal style="hair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hair">
          <color rgb="FF000000"/>
        </left>
        <right style="hair">
          <color rgb="FF000000"/>
        </right>
        <top style="hair">
          <color rgb="FF000000"/>
        </top>
        <bottom style="hair">
          <color rgb="FF000000"/>
        </bottom>
        <horizontal style="hair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hair">
          <color rgb="FF000000"/>
        </left>
        <right style="hair">
          <color rgb="FF000000"/>
        </right>
        <top style="hair">
          <color rgb="FF000000"/>
        </top>
        <bottom style="hair">
          <color rgb="FF000000"/>
        </bottom>
        <horizontal style="hair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hair">
          <color rgb="FF000000"/>
        </left>
        <right style="hair">
          <color rgb="FF000000"/>
        </right>
        <top style="hair">
          <color rgb="FF000000"/>
        </top>
        <bottom style="hair">
          <color rgb="FF000000"/>
        </bottom>
        <horizontal style="hair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hair">
          <color rgb="FF000000"/>
        </left>
        <right style="hair">
          <color rgb="FF000000"/>
        </right>
        <top style="hair">
          <color rgb="FF000000"/>
        </top>
        <bottom style="hair">
          <color rgb="FF000000"/>
        </bottom>
        <horizontal style="hair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 style="hair">
          <color rgb="FF000000"/>
        </left>
        <right style="hair">
          <color rgb="FF000000"/>
        </right>
        <top style="hair">
          <color rgb="FF000000"/>
        </top>
        <bottom style="hair">
          <color rgb="FF000000"/>
        </bottom>
        <horizontal style="hair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hair">
          <color rgb="FF000000"/>
        </left>
        <right style="hair">
          <color rgb="FF000000"/>
        </right>
        <top style="hair">
          <color rgb="FF000000"/>
        </top>
        <bottom style="hair">
          <color rgb="FF000000"/>
        </bottom>
        <horizontal style="hair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hair">
          <color rgb="FF000000"/>
        </left>
        <right style="hair">
          <color rgb="FF000000"/>
        </right>
        <top style="hair">
          <color rgb="FF000000"/>
        </top>
        <bottom style="hair">
          <color rgb="FF000000"/>
        </bottom>
        <horizontal style="hair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#,##0.00_ ;[Red]\-#,##0.00\ 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 style="hair">
          <color rgb="FF000000"/>
        </right>
        <top style="hair">
          <color rgb="FF000000"/>
        </top>
        <bottom style="hair">
          <color rgb="FF000000"/>
        </bottom>
        <horizontal style="hair">
          <color rgb="FF000000"/>
        </horizontal>
      </border>
    </dxf>
    <dxf>
      <border>
        <top style="hair">
          <color rgb="FF000000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4.9989318521683403E-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151E59F-4913-41AB-9FF5-DFF15422913F}" name="Tabela25456" displayName="Tabela25456" ref="A10:U55" totalsRowShown="0" headerRowDxfId="25" dataDxfId="23" headerRowBorderDxfId="24" tableBorderDxfId="22" totalsRowBorderDxfId="21">
  <tableColumns count="21">
    <tableColumn id="25" xr3:uid="{A02241BD-96F9-4711-9774-4C55AFD6AC32}" name="Matricula" dataDxfId="20"/>
    <tableColumn id="26" xr3:uid="{32239638-EA41-475A-9D1B-F7344ED0CC3F}" name="Nomeação Posse" dataDxfId="19"/>
    <tableColumn id="2" xr3:uid="{FC0DAFEF-06CA-4A18-949C-F60C0B7D41A9}" name="Colaborador / Servidor" dataDxfId="18"/>
    <tableColumn id="19" xr3:uid="{01B85236-D90B-4C1D-970E-79E207641AB5}" name="Cargo - Função" dataDxfId="17"/>
    <tableColumn id="24" xr3:uid="{7C68C1C2-157C-42A6-946C-1E1E03AAFCF3}" name="Publicação Porta Voz" dataDxfId="16"/>
    <tableColumn id="20" xr3:uid="{432B7D36-9704-4465-B991-F3DB09A2B872}" name="Portaria" dataDxfId="15"/>
    <tableColumn id="5" xr3:uid="{0BF2DC36-A38A-4E1E-BDDB-9C55AD17F9E8}" name="Data Admissão" dataDxfId="14"/>
    <tableColumn id="22" xr3:uid="{30BE0541-0516-42D0-BFA7-CDD104909359}" name="Departamento" dataDxfId="13"/>
    <tableColumn id="8" xr3:uid="{D665366C-0C58-431B-98D3-398C9106BBDF}" name="Salário Base" dataDxfId="12"/>
    <tableColumn id="7" xr3:uid="{D9AE697E-96B6-40D2-82AB-5F48D2E13959}" name="Salário Maternidade" dataDxfId="11"/>
    <tableColumn id="4" xr3:uid="{A178549E-D50F-4CCB-B053-D029A31D6BCA}" name="Férias" dataDxfId="10"/>
    <tableColumn id="3" xr3:uid="{116A174E-C2AC-41A6-9297-981DEB4157A5}" name="Quinquênios" dataDxfId="9"/>
    <tableColumn id="9" xr3:uid="{5DA49C6E-94A1-41B0-A25D-2C3CBDBE0968}" name="Gratificações " dataDxfId="8"/>
    <tableColumn id="10" xr3:uid="{3A3A1B36-839B-4972-9A40-2E71A02398E4}" name="Total Remunerações" dataDxfId="7">
      <calculatedColumnFormula>SUM(I11:M11)</calculatedColumnFormula>
    </tableColumn>
    <tableColumn id="11" xr3:uid="{E1D1DE19-5577-4F14-87C8-731838515D53}" name="INSS / IPSERV" dataDxfId="6">
      <calculatedColumnFormula>Tabela25456[[#This Row],[Total Remunerações]]*0.273</calculatedColumnFormula>
    </tableColumn>
    <tableColumn id="12" xr3:uid="{8EAD4574-90C2-404B-8484-326CF57454BF}" name="IRRF" dataDxfId="5">
      <calculatedColumnFormula>Tabela25456[[#This Row],[Total Remunerações]]*0.08</calculatedColumnFormula>
    </tableColumn>
    <tableColumn id="6" xr3:uid="{BF0E3EFF-A8D5-4E20-AAAB-8FC510B85BD5}" name="Adiantamento Férias (Desconto)" dataDxfId="4"/>
    <tableColumn id="13" xr3:uid="{DBC4A616-EBEF-41B2-BB6A-AF1ED09695A3}" name="Outros Descontos" dataDxfId="3">
      <calculatedColumnFormula>Tabela25456[[#This Row],[Total Remunerações]]/12/3*4</calculatedColumnFormula>
    </tableColumn>
    <tableColumn id="14" xr3:uid="{A3F5DA9F-413B-4D3A-A7DA-43A84F551E13}" name="Total Descontos" dataDxfId="2">
      <calculatedColumnFormula>Tabela25456[[#This Row],[Outros Descontos]]*0.273</calculatedColumnFormula>
    </tableColumn>
    <tableColumn id="15" xr3:uid="{D9B0465B-D73F-4431-B0D8-9EFD7A2C1194}" name="Líquido" dataDxfId="1">
      <calculatedColumnFormula>Tabela25456[[#This Row],[Outros Descontos]]*0.08</calculatedColumnFormula>
    </tableColumn>
    <tableColumn id="1" xr3:uid="{B4E43EDC-182E-459C-9F12-0AC74A02AEB7}" name="FGTS 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B4C3E-34CE-46E9-B0BE-7CB63028E466}">
  <sheetPr>
    <pageSetUpPr fitToPage="1"/>
  </sheetPr>
  <dimension ref="A2:AB55"/>
  <sheetViews>
    <sheetView showGridLines="0" tabSelected="1" zoomScale="90" zoomScaleNormal="90" zoomScaleSheetLayoutView="50" zoomScalePageLayoutView="55" workbookViewId="0">
      <pane xSplit="3" ySplit="10" topLeftCell="D11" activePane="bottomRight" state="frozen"/>
      <selection pane="topRight" activeCell="D1" sqref="D1"/>
      <selection pane="bottomLeft" activeCell="A2" sqref="A2"/>
      <selection pane="bottomRight" activeCell="D11" sqref="D11"/>
    </sheetView>
  </sheetViews>
  <sheetFormatPr defaultRowHeight="15" customHeight="1" x14ac:dyDescent="0.2"/>
  <cols>
    <col min="1" max="1" width="13.7109375" style="3" bestFit="1" customWidth="1"/>
    <col min="2" max="2" width="17.140625" style="2" bestFit="1" customWidth="1"/>
    <col min="3" max="3" width="40.28515625" style="2" bestFit="1" customWidth="1"/>
    <col min="4" max="4" width="71.28515625" style="2" bestFit="1" customWidth="1"/>
    <col min="5" max="5" width="30.28515625" style="2" bestFit="1" customWidth="1"/>
    <col min="6" max="6" width="18.140625" style="2" bestFit="1" customWidth="1"/>
    <col min="7" max="7" width="14.5703125" style="2" bestFit="1" customWidth="1"/>
    <col min="8" max="8" width="44.28515625" style="2" bestFit="1" customWidth="1"/>
    <col min="9" max="9" width="11.42578125" style="4" bestFit="1" customWidth="1"/>
    <col min="10" max="10" width="16.85546875" style="4" bestFit="1" customWidth="1"/>
    <col min="11" max="11" width="10.28515625" style="2" bestFit="1" customWidth="1"/>
    <col min="12" max="12" width="18.5703125" style="2" bestFit="1" customWidth="1"/>
    <col min="13" max="13" width="19.85546875" style="2" bestFit="1" customWidth="1"/>
    <col min="14" max="14" width="20.28515625" style="2" bestFit="1" customWidth="1"/>
    <col min="15" max="15" width="12.7109375" style="2" customWidth="1"/>
    <col min="16" max="16" width="10.28515625" style="2" bestFit="1" customWidth="1"/>
    <col min="17" max="17" width="24.140625" style="2" bestFit="1" customWidth="1"/>
    <col min="18" max="18" width="14.85546875" style="3" bestFit="1" customWidth="1"/>
    <col min="19" max="19" width="15.7109375" style="3" bestFit="1" customWidth="1"/>
    <col min="20" max="20" width="12.42578125" style="3" bestFit="1" customWidth="1"/>
    <col min="21" max="21" width="11" style="2" bestFit="1" customWidth="1"/>
    <col min="22" max="22" width="12.42578125" style="2" bestFit="1" customWidth="1"/>
    <col min="23" max="23" width="11" style="1" bestFit="1" customWidth="1"/>
    <col min="24" max="24" width="23.7109375" style="1" bestFit="1" customWidth="1"/>
    <col min="25" max="26" width="28.42578125" style="1" bestFit="1" customWidth="1"/>
    <col min="27" max="27" width="17.28515625" style="1" bestFit="1" customWidth="1"/>
    <col min="28" max="28" width="10.28515625" style="2" bestFit="1" customWidth="1"/>
    <col min="29" max="29" width="11.42578125" style="1" bestFit="1" customWidth="1"/>
    <col min="30" max="16384" width="9.140625" style="1"/>
  </cols>
  <sheetData>
    <row r="2" spans="1:28" ht="16.5" x14ac:dyDescent="0.2">
      <c r="A2" s="55" t="s">
        <v>164</v>
      </c>
      <c r="B2" s="55"/>
      <c r="C2" s="55"/>
    </row>
    <row r="4" spans="1:28" s="50" customFormat="1" ht="16.5" x14ac:dyDescent="0.25">
      <c r="A4" s="55" t="s">
        <v>165</v>
      </c>
      <c r="B4" s="55"/>
      <c r="C4" s="55"/>
      <c r="D4" s="47"/>
      <c r="E4" s="47"/>
      <c r="F4" s="47"/>
      <c r="G4" s="47"/>
      <c r="H4" s="47"/>
      <c r="I4" s="48"/>
      <c r="J4" s="48"/>
      <c r="K4" s="47"/>
      <c r="L4" s="47"/>
      <c r="M4" s="47"/>
      <c r="N4" s="47"/>
      <c r="O4" s="47"/>
      <c r="P4" s="47"/>
      <c r="Q4" s="47"/>
      <c r="R4" s="49"/>
      <c r="S4" s="49"/>
      <c r="T4" s="49"/>
      <c r="U4" s="47"/>
      <c r="V4" s="47"/>
      <c r="AB4" s="47"/>
    </row>
    <row r="6" spans="1:28" ht="16.5" x14ac:dyDescent="0.2">
      <c r="A6" s="55" t="s">
        <v>166</v>
      </c>
      <c r="B6" s="55"/>
      <c r="C6" s="55"/>
    </row>
    <row r="8" spans="1:28" ht="18" x14ac:dyDescent="0.2">
      <c r="A8" s="56" t="s">
        <v>167</v>
      </c>
      <c r="B8" s="56"/>
      <c r="C8" s="56"/>
    </row>
    <row r="9" spans="1:28" ht="15" customHeight="1" thickBot="1" x14ac:dyDescent="0.25"/>
    <row r="10" spans="1:28" s="9" customFormat="1" ht="54.75" thickBot="1" x14ac:dyDescent="0.25">
      <c r="A10" s="54" t="s">
        <v>163</v>
      </c>
      <c r="B10" s="14" t="s">
        <v>162</v>
      </c>
      <c r="C10" s="13" t="s">
        <v>161</v>
      </c>
      <c r="D10" s="13" t="s">
        <v>160</v>
      </c>
      <c r="E10" s="13" t="s">
        <v>159</v>
      </c>
      <c r="F10" s="13" t="s">
        <v>158</v>
      </c>
      <c r="G10" s="14" t="s">
        <v>157</v>
      </c>
      <c r="H10" s="13" t="s">
        <v>156</v>
      </c>
      <c r="I10" s="14" t="s">
        <v>155</v>
      </c>
      <c r="J10" s="14" t="s">
        <v>154</v>
      </c>
      <c r="K10" s="13" t="s">
        <v>153</v>
      </c>
      <c r="L10" s="13" t="s">
        <v>152</v>
      </c>
      <c r="M10" s="10" t="s">
        <v>151</v>
      </c>
      <c r="N10" s="12" t="s">
        <v>150</v>
      </c>
      <c r="O10" s="12" t="s">
        <v>168</v>
      </c>
      <c r="P10" s="10" t="s">
        <v>149</v>
      </c>
      <c r="Q10" s="12" t="s">
        <v>148</v>
      </c>
      <c r="R10" s="12" t="s">
        <v>147</v>
      </c>
      <c r="S10" s="12" t="s">
        <v>146</v>
      </c>
      <c r="T10" s="10" t="s">
        <v>145</v>
      </c>
      <c r="U10" s="11" t="s">
        <v>144</v>
      </c>
    </row>
    <row r="11" spans="1:28" ht="30" customHeight="1" x14ac:dyDescent="0.2">
      <c r="A11" s="28">
        <v>399</v>
      </c>
      <c r="B11" s="29" t="s">
        <v>23</v>
      </c>
      <c r="C11" s="30" t="s">
        <v>143</v>
      </c>
      <c r="D11" s="31" t="s">
        <v>142</v>
      </c>
      <c r="E11" s="32" t="s">
        <v>141</v>
      </c>
      <c r="F11" s="33" t="s">
        <v>140</v>
      </c>
      <c r="G11" s="34">
        <v>45393</v>
      </c>
      <c r="H11" s="30" t="s">
        <v>52</v>
      </c>
      <c r="I11" s="35">
        <v>3225.6</v>
      </c>
      <c r="J11" s="35">
        <v>0</v>
      </c>
      <c r="K11" s="35">
        <v>0</v>
      </c>
      <c r="L11" s="35">
        <v>0</v>
      </c>
      <c r="M11" s="36">
        <v>0</v>
      </c>
      <c r="N11" s="37">
        <f t="shared" ref="N11:N54" si="0">SUM(I11:M11)</f>
        <v>3225.6</v>
      </c>
      <c r="O11" s="36">
        <v>285.89</v>
      </c>
      <c r="P11" s="36">
        <v>30.12</v>
      </c>
      <c r="Q11" s="36">
        <v>0</v>
      </c>
      <c r="R11" s="36">
        <f>203.29+320.94</f>
        <v>524.23</v>
      </c>
      <c r="S11" s="37">
        <f t="shared" ref="S11:S54" si="1">SUM(O11:R11)</f>
        <v>840.24</v>
      </c>
      <c r="T11" s="37">
        <f>Tabela25456[[#This Row],[Total Remunerações]]-Tabela25456[[#This Row],[Total Descontos]]</f>
        <v>2385.3599999999997</v>
      </c>
      <c r="U11" s="51">
        <v>258.02999999999997</v>
      </c>
      <c r="V11" s="1"/>
      <c r="AB11" s="1"/>
    </row>
    <row r="12" spans="1:28" ht="30" customHeight="1" x14ac:dyDescent="0.2">
      <c r="A12" s="15">
        <v>370</v>
      </c>
      <c r="B12" s="16" t="s">
        <v>23</v>
      </c>
      <c r="C12" s="17" t="s">
        <v>139</v>
      </c>
      <c r="D12" s="18" t="s">
        <v>138</v>
      </c>
      <c r="E12" s="19" t="s">
        <v>137</v>
      </c>
      <c r="F12" s="20" t="s">
        <v>136</v>
      </c>
      <c r="G12" s="21">
        <v>44777</v>
      </c>
      <c r="H12" s="17" t="s">
        <v>61</v>
      </c>
      <c r="I12" s="22">
        <v>8521.7199999999993</v>
      </c>
      <c r="J12" s="22">
        <v>0</v>
      </c>
      <c r="K12" s="22">
        <v>0</v>
      </c>
      <c r="L12" s="22">
        <v>0</v>
      </c>
      <c r="M12" s="23">
        <v>0</v>
      </c>
      <c r="N12" s="24">
        <f t="shared" si="0"/>
        <v>8521.7199999999993</v>
      </c>
      <c r="O12" s="23">
        <v>908.85</v>
      </c>
      <c r="P12" s="23">
        <v>1197.54</v>
      </c>
      <c r="Q12" s="23">
        <v>0</v>
      </c>
      <c r="R12" s="23">
        <v>0</v>
      </c>
      <c r="S12" s="24">
        <f t="shared" si="1"/>
        <v>2106.39</v>
      </c>
      <c r="T12" s="24">
        <f>Tabela25456[[#This Row],[Total Remunerações]]-Tabela25456[[#This Row],[Total Descontos]]</f>
        <v>6415.33</v>
      </c>
      <c r="U12" s="52">
        <v>681.73</v>
      </c>
      <c r="V12" s="1"/>
      <c r="AB12" s="1"/>
    </row>
    <row r="13" spans="1:28" ht="30" customHeight="1" x14ac:dyDescent="0.2">
      <c r="A13" s="15">
        <v>391</v>
      </c>
      <c r="B13" s="16" t="s">
        <v>23</v>
      </c>
      <c r="C13" s="17" t="s">
        <v>135</v>
      </c>
      <c r="D13" s="18" t="s">
        <v>55</v>
      </c>
      <c r="E13" s="19" t="s">
        <v>20</v>
      </c>
      <c r="F13" s="20" t="s">
        <v>134</v>
      </c>
      <c r="G13" s="21">
        <v>45120</v>
      </c>
      <c r="H13" s="17" t="s">
        <v>52</v>
      </c>
      <c r="I13" s="22">
        <v>6253.03</v>
      </c>
      <c r="J13" s="22">
        <v>0</v>
      </c>
      <c r="K13" s="22">
        <v>555.82000000000005</v>
      </c>
      <c r="L13" s="22">
        <v>0</v>
      </c>
      <c r="M13" s="23">
        <v>0</v>
      </c>
      <c r="N13" s="24">
        <f t="shared" si="0"/>
        <v>6808.8499999999995</v>
      </c>
      <c r="O13" s="23">
        <f>33.37+694.24</f>
        <v>727.61</v>
      </c>
      <c r="P13" s="23">
        <v>571.35</v>
      </c>
      <c r="Q13" s="23">
        <v>555.82000000000005</v>
      </c>
      <c r="R13" s="23">
        <v>0</v>
      </c>
      <c r="S13" s="24">
        <f t="shared" si="1"/>
        <v>1854.7800000000002</v>
      </c>
      <c r="T13" s="24">
        <f>Tabela25456[[#This Row],[Total Remunerações]]-Tabela25456[[#This Row],[Total Descontos]]</f>
        <v>4954.07</v>
      </c>
      <c r="U13" s="52">
        <v>544.70000000000005</v>
      </c>
      <c r="V13" s="1"/>
      <c r="AB13" s="1"/>
    </row>
    <row r="14" spans="1:28" ht="30" customHeight="1" x14ac:dyDescent="0.2">
      <c r="A14" s="15">
        <v>382</v>
      </c>
      <c r="B14" s="16" t="s">
        <v>23</v>
      </c>
      <c r="C14" s="17" t="s">
        <v>133</v>
      </c>
      <c r="D14" s="18" t="s">
        <v>132</v>
      </c>
      <c r="E14" s="19" t="s">
        <v>49</v>
      </c>
      <c r="F14" s="20" t="s">
        <v>131</v>
      </c>
      <c r="G14" s="21">
        <v>44896</v>
      </c>
      <c r="H14" s="17" t="s">
        <v>18</v>
      </c>
      <c r="I14" s="22">
        <v>3454.62</v>
      </c>
      <c r="J14" s="22">
        <v>0</v>
      </c>
      <c r="K14" s="22">
        <v>0</v>
      </c>
      <c r="L14" s="22">
        <v>0</v>
      </c>
      <c r="M14" s="23">
        <v>1000</v>
      </c>
      <c r="N14" s="24">
        <f t="shared" si="0"/>
        <v>4454.62</v>
      </c>
      <c r="O14" s="23">
        <v>442.46</v>
      </c>
      <c r="P14" s="23">
        <v>197.31</v>
      </c>
      <c r="Q14" s="23">
        <v>0</v>
      </c>
      <c r="R14" s="23">
        <v>0</v>
      </c>
      <c r="S14" s="24">
        <f t="shared" si="1"/>
        <v>639.77</v>
      </c>
      <c r="T14" s="24">
        <f>Tabela25456[[#This Row],[Total Remunerações]]-Tabela25456[[#This Row],[Total Descontos]]</f>
        <v>3814.85</v>
      </c>
      <c r="U14" s="52">
        <v>356.36</v>
      </c>
      <c r="V14" s="1"/>
      <c r="AB14" s="1"/>
    </row>
    <row r="15" spans="1:28" ht="30" customHeight="1" x14ac:dyDescent="0.2">
      <c r="A15" s="15">
        <v>389</v>
      </c>
      <c r="B15" s="16" t="s">
        <v>23</v>
      </c>
      <c r="C15" s="17" t="s">
        <v>130</v>
      </c>
      <c r="D15" s="18" t="s">
        <v>117</v>
      </c>
      <c r="E15" s="19" t="s">
        <v>20</v>
      </c>
      <c r="F15" s="20" t="s">
        <v>129</v>
      </c>
      <c r="G15" s="21">
        <v>45120</v>
      </c>
      <c r="H15" s="17" t="s">
        <v>18</v>
      </c>
      <c r="I15" s="22">
        <v>2563.61</v>
      </c>
      <c r="J15" s="22">
        <v>0</v>
      </c>
      <c r="K15" s="22">
        <v>0</v>
      </c>
      <c r="L15" s="22">
        <v>0</v>
      </c>
      <c r="M15" s="23">
        <v>0</v>
      </c>
      <c r="N15" s="24">
        <f t="shared" si="0"/>
        <v>2563.61</v>
      </c>
      <c r="O15" s="23">
        <v>209.54</v>
      </c>
      <c r="P15" s="23">
        <v>0</v>
      </c>
      <c r="Q15" s="23">
        <v>0</v>
      </c>
      <c r="R15" s="23">
        <v>154.63999999999999</v>
      </c>
      <c r="S15" s="24">
        <f t="shared" si="1"/>
        <v>364.17999999999995</v>
      </c>
      <c r="T15" s="24">
        <f>Tabela25456[[#This Row],[Total Remunerações]]-Tabela25456[[#This Row],[Total Descontos]]</f>
        <v>2199.4300000000003</v>
      </c>
      <c r="U15" s="52">
        <v>205.08</v>
      </c>
      <c r="V15" s="1"/>
      <c r="AB15" s="1"/>
    </row>
    <row r="16" spans="1:28" ht="30" customHeight="1" x14ac:dyDescent="0.2">
      <c r="A16" s="15">
        <v>109</v>
      </c>
      <c r="B16" s="16" t="s">
        <v>28</v>
      </c>
      <c r="C16" s="17" t="s">
        <v>128</v>
      </c>
      <c r="D16" s="18" t="s">
        <v>127</v>
      </c>
      <c r="E16" s="19" t="s">
        <v>120</v>
      </c>
      <c r="F16" s="19" t="s">
        <v>0</v>
      </c>
      <c r="G16" s="21">
        <v>37265</v>
      </c>
      <c r="H16" s="17" t="s">
        <v>24</v>
      </c>
      <c r="I16" s="22">
        <v>3345.44</v>
      </c>
      <c r="J16" s="22">
        <v>0</v>
      </c>
      <c r="K16" s="22">
        <v>0</v>
      </c>
      <c r="L16" s="22">
        <v>250.9</v>
      </c>
      <c r="M16" s="23">
        <v>5176.28</v>
      </c>
      <c r="N16" s="24">
        <f t="shared" si="0"/>
        <v>8772.619999999999</v>
      </c>
      <c r="O16" s="23">
        <v>908.85</v>
      </c>
      <c r="P16" s="23">
        <v>1162.26</v>
      </c>
      <c r="Q16" s="23">
        <v>0</v>
      </c>
      <c r="R16" s="23">
        <f>26.35+2070.93+240.95</f>
        <v>2338.2299999999996</v>
      </c>
      <c r="S16" s="24">
        <f t="shared" si="1"/>
        <v>4409.34</v>
      </c>
      <c r="T16" s="24">
        <f>Tabela25456[[#This Row],[Total Remunerações]]-Tabela25456[[#This Row],[Total Descontos]]</f>
        <v>4363.2799999999988</v>
      </c>
      <c r="U16" s="52">
        <v>701.8</v>
      </c>
      <c r="V16" s="1"/>
      <c r="AB16" s="1"/>
    </row>
    <row r="17" spans="1:28" ht="30" customHeight="1" x14ac:dyDescent="0.2">
      <c r="A17" s="15">
        <v>397</v>
      </c>
      <c r="B17" s="16" t="s">
        <v>23</v>
      </c>
      <c r="C17" s="17" t="s">
        <v>126</v>
      </c>
      <c r="D17" s="18" t="s">
        <v>125</v>
      </c>
      <c r="E17" s="19" t="s">
        <v>124</v>
      </c>
      <c r="F17" s="20" t="s">
        <v>123</v>
      </c>
      <c r="G17" s="21">
        <v>45216</v>
      </c>
      <c r="H17" s="17" t="s">
        <v>52</v>
      </c>
      <c r="I17" s="22">
        <v>6253.03</v>
      </c>
      <c r="J17" s="22">
        <v>0</v>
      </c>
      <c r="K17" s="22">
        <v>0</v>
      </c>
      <c r="L17" s="22">
        <v>0</v>
      </c>
      <c r="M17" s="23">
        <v>0</v>
      </c>
      <c r="N17" s="24">
        <f t="shared" si="0"/>
        <v>6253.03</v>
      </c>
      <c r="O17" s="23">
        <v>694.24</v>
      </c>
      <c r="P17" s="23">
        <v>580.53</v>
      </c>
      <c r="Q17" s="23">
        <v>0</v>
      </c>
      <c r="R17" s="23">
        <f>26.35+466.77</f>
        <v>493.12</v>
      </c>
      <c r="S17" s="24">
        <f t="shared" si="1"/>
        <v>1767.8899999999999</v>
      </c>
      <c r="T17" s="24">
        <f>Tabela25456[[#This Row],[Total Remunerações]]-Tabela25456[[#This Row],[Total Descontos]]</f>
        <v>4485.1399999999994</v>
      </c>
      <c r="U17" s="52">
        <v>500.24</v>
      </c>
      <c r="V17" s="1"/>
      <c r="AB17" s="1"/>
    </row>
    <row r="18" spans="1:28" ht="30" customHeight="1" x14ac:dyDescent="0.2">
      <c r="A18" s="15">
        <v>115</v>
      </c>
      <c r="B18" s="16" t="s">
        <v>28</v>
      </c>
      <c r="C18" s="17" t="s">
        <v>122</v>
      </c>
      <c r="D18" s="18" t="s">
        <v>64</v>
      </c>
      <c r="E18" s="19" t="s">
        <v>29</v>
      </c>
      <c r="F18" s="19" t="s">
        <v>0</v>
      </c>
      <c r="G18" s="21">
        <v>37271</v>
      </c>
      <c r="H18" s="17" t="s">
        <v>61</v>
      </c>
      <c r="I18" s="22">
        <v>5567.52</v>
      </c>
      <c r="J18" s="22">
        <v>0</v>
      </c>
      <c r="K18" s="22">
        <v>0</v>
      </c>
      <c r="L18" s="22">
        <v>556.75</v>
      </c>
      <c r="M18" s="23">
        <v>685.51</v>
      </c>
      <c r="N18" s="24">
        <f t="shared" si="0"/>
        <v>6809.7800000000007</v>
      </c>
      <c r="O18" s="23">
        <v>772.18</v>
      </c>
      <c r="P18" s="23">
        <v>764.34</v>
      </c>
      <c r="Q18" s="23">
        <v>0</v>
      </c>
      <c r="R18" s="23">
        <f>66.22+1036.4</f>
        <v>1102.6200000000001</v>
      </c>
      <c r="S18" s="24">
        <f t="shared" si="1"/>
        <v>2639.1400000000003</v>
      </c>
      <c r="T18" s="24">
        <f>Tabela25456[[#This Row],[Total Remunerações]]-Tabela25456[[#This Row],[Total Descontos]]</f>
        <v>4170.6400000000003</v>
      </c>
      <c r="U18" s="52">
        <v>544.78</v>
      </c>
      <c r="V18" s="1"/>
      <c r="AB18" s="1"/>
    </row>
    <row r="19" spans="1:28" ht="30" customHeight="1" x14ac:dyDescent="0.2">
      <c r="A19" s="15">
        <v>101</v>
      </c>
      <c r="B19" s="16" t="s">
        <v>28</v>
      </c>
      <c r="C19" s="17" t="s">
        <v>121</v>
      </c>
      <c r="D19" s="18" t="s">
        <v>113</v>
      </c>
      <c r="E19" s="19" t="s">
        <v>120</v>
      </c>
      <c r="F19" s="19" t="s">
        <v>0</v>
      </c>
      <c r="G19" s="21">
        <v>37074</v>
      </c>
      <c r="H19" s="17" t="s">
        <v>18</v>
      </c>
      <c r="I19" s="22">
        <v>2593.3200000000002</v>
      </c>
      <c r="J19" s="22">
        <v>0</v>
      </c>
      <c r="K19" s="22">
        <v>0</v>
      </c>
      <c r="L19" s="22">
        <v>259.33</v>
      </c>
      <c r="M19" s="23">
        <v>2487</v>
      </c>
      <c r="N19" s="24">
        <f t="shared" si="0"/>
        <v>5339.65</v>
      </c>
      <c r="O19" s="23">
        <v>566.36</v>
      </c>
      <c r="P19" s="23">
        <v>416.65</v>
      </c>
      <c r="Q19" s="23">
        <v>0</v>
      </c>
      <c r="R19" s="23">
        <f>206.05+84.54+1276.87</f>
        <v>1567.46</v>
      </c>
      <c r="S19" s="24">
        <f t="shared" si="1"/>
        <v>2550.4700000000003</v>
      </c>
      <c r="T19" s="24">
        <f>Tabela25456[[#This Row],[Total Remunerações]]-Tabela25456[[#This Row],[Total Descontos]]</f>
        <v>2789.1799999999994</v>
      </c>
      <c r="U19" s="52">
        <v>427.17</v>
      </c>
      <c r="V19" s="1"/>
      <c r="AB19" s="1"/>
    </row>
    <row r="20" spans="1:28" ht="30" customHeight="1" x14ac:dyDescent="0.2">
      <c r="A20" s="15">
        <v>353</v>
      </c>
      <c r="B20" s="16" t="s">
        <v>23</v>
      </c>
      <c r="C20" s="17" t="s">
        <v>119</v>
      </c>
      <c r="D20" s="18" t="s">
        <v>30</v>
      </c>
      <c r="E20" s="19" t="s">
        <v>33</v>
      </c>
      <c r="F20" s="25" t="s">
        <v>32</v>
      </c>
      <c r="G20" s="21">
        <v>44228</v>
      </c>
      <c r="H20" s="17" t="s">
        <v>52</v>
      </c>
      <c r="I20" s="22">
        <v>3270.75</v>
      </c>
      <c r="J20" s="22">
        <v>0</v>
      </c>
      <c r="K20" s="22">
        <v>0</v>
      </c>
      <c r="L20" s="22">
        <v>0</v>
      </c>
      <c r="M20" s="23">
        <v>0</v>
      </c>
      <c r="N20" s="24">
        <f t="shared" si="0"/>
        <v>3270.75</v>
      </c>
      <c r="O20" s="23">
        <v>291.3</v>
      </c>
      <c r="P20" s="23">
        <v>33.51</v>
      </c>
      <c r="Q20" s="23">
        <v>0</v>
      </c>
      <c r="R20" s="23">
        <f>227.43+475.75</f>
        <v>703.18000000000006</v>
      </c>
      <c r="S20" s="24">
        <f t="shared" si="1"/>
        <v>1027.99</v>
      </c>
      <c r="T20" s="24">
        <f>Tabela25456[[#This Row],[Total Remunerações]]-Tabela25456[[#This Row],[Total Descontos]]</f>
        <v>2242.7600000000002</v>
      </c>
      <c r="U20" s="52">
        <v>261.66000000000003</v>
      </c>
      <c r="V20" s="1"/>
      <c r="AB20" s="1"/>
    </row>
    <row r="21" spans="1:28" ht="30" customHeight="1" x14ac:dyDescent="0.2">
      <c r="A21" s="15">
        <v>380</v>
      </c>
      <c r="B21" s="16" t="s">
        <v>23</v>
      </c>
      <c r="C21" s="17" t="s">
        <v>118</v>
      </c>
      <c r="D21" s="18" t="s">
        <v>117</v>
      </c>
      <c r="E21" s="19" t="s">
        <v>116</v>
      </c>
      <c r="F21" s="20" t="s">
        <v>115</v>
      </c>
      <c r="G21" s="21">
        <v>44866</v>
      </c>
      <c r="H21" s="17" t="s">
        <v>18</v>
      </c>
      <c r="I21" s="22">
        <v>2563.61</v>
      </c>
      <c r="J21" s="22">
        <v>0</v>
      </c>
      <c r="K21" s="22">
        <v>0</v>
      </c>
      <c r="L21" s="22">
        <v>0</v>
      </c>
      <c r="M21" s="23">
        <v>0</v>
      </c>
      <c r="N21" s="24">
        <f t="shared" si="0"/>
        <v>2563.61</v>
      </c>
      <c r="O21" s="23">
        <v>209.54</v>
      </c>
      <c r="P21" s="23">
        <v>0</v>
      </c>
      <c r="Q21" s="23">
        <v>0</v>
      </c>
      <c r="R21" s="23">
        <v>0</v>
      </c>
      <c r="S21" s="24">
        <f t="shared" si="1"/>
        <v>209.54</v>
      </c>
      <c r="T21" s="24">
        <f>Tabela25456[[#This Row],[Total Remunerações]]-Tabela25456[[#This Row],[Total Descontos]]</f>
        <v>2354.0700000000002</v>
      </c>
      <c r="U21" s="52">
        <v>205.08</v>
      </c>
      <c r="V21" s="1"/>
      <c r="AB21" s="1"/>
    </row>
    <row r="22" spans="1:28" ht="30" customHeight="1" x14ac:dyDescent="0.2">
      <c r="A22" s="15">
        <v>127</v>
      </c>
      <c r="B22" s="16" t="s">
        <v>28</v>
      </c>
      <c r="C22" s="17" t="s">
        <v>114</v>
      </c>
      <c r="D22" s="18" t="s">
        <v>113</v>
      </c>
      <c r="E22" s="19" t="s">
        <v>29</v>
      </c>
      <c r="F22" s="19" t="s">
        <v>0</v>
      </c>
      <c r="G22" s="21">
        <v>37852</v>
      </c>
      <c r="H22" s="17" t="s">
        <v>18</v>
      </c>
      <c r="I22" s="22">
        <v>1988.76</v>
      </c>
      <c r="J22" s="22">
        <v>0</v>
      </c>
      <c r="K22" s="22">
        <f>2526.77+1803.73+177.43+815.09+641.54</f>
        <v>5964.56</v>
      </c>
      <c r="L22" s="22">
        <v>0</v>
      </c>
      <c r="M22" s="23">
        <f>2500+3091.56</f>
        <v>5591.5599999999995</v>
      </c>
      <c r="N22" s="24">
        <f t="shared" si="0"/>
        <v>13544.880000000001</v>
      </c>
      <c r="O22" s="23">
        <v>880.06</v>
      </c>
      <c r="P22" s="23">
        <v>995.36</v>
      </c>
      <c r="Q22" s="23">
        <f>206.22+5542.07+38.84</f>
        <v>5787.13</v>
      </c>
      <c r="R22" s="23">
        <f>41.21+83.79+1516.84</f>
        <v>1641.84</v>
      </c>
      <c r="S22" s="24">
        <f t="shared" si="1"/>
        <v>9304.39</v>
      </c>
      <c r="T22" s="24">
        <f>Tabela25456[[#This Row],[Total Remunerações]]-Tabela25456[[#This Row],[Total Descontos]]</f>
        <v>4240.4900000000016</v>
      </c>
      <c r="U22" s="52">
        <v>808.56</v>
      </c>
      <c r="V22" s="1"/>
      <c r="AB22" s="1"/>
    </row>
    <row r="23" spans="1:28" ht="30" customHeight="1" x14ac:dyDescent="0.2">
      <c r="A23" s="15">
        <v>356</v>
      </c>
      <c r="B23" s="16" t="s">
        <v>112</v>
      </c>
      <c r="C23" s="17" t="s">
        <v>111</v>
      </c>
      <c r="D23" s="18" t="s">
        <v>110</v>
      </c>
      <c r="E23" s="19" t="s">
        <v>109</v>
      </c>
      <c r="F23" s="26" t="s">
        <v>32</v>
      </c>
      <c r="G23" s="21">
        <v>44228</v>
      </c>
      <c r="H23" s="17" t="s">
        <v>52</v>
      </c>
      <c r="I23" s="22">
        <v>8521.7199999999993</v>
      </c>
      <c r="J23" s="22">
        <v>0</v>
      </c>
      <c r="K23" s="22">
        <v>0</v>
      </c>
      <c r="L23" s="22">
        <v>0</v>
      </c>
      <c r="M23" s="23">
        <v>0</v>
      </c>
      <c r="N23" s="24">
        <f t="shared" si="0"/>
        <v>8521.7199999999993</v>
      </c>
      <c r="O23" s="23">
        <v>1193.04</v>
      </c>
      <c r="P23" s="23">
        <v>1119.3900000000001</v>
      </c>
      <c r="Q23" s="23">
        <v>0</v>
      </c>
      <c r="R23" s="23">
        <f>26.35+355.97+69.03</f>
        <v>451.35</v>
      </c>
      <c r="S23" s="24">
        <f t="shared" si="1"/>
        <v>2763.78</v>
      </c>
      <c r="T23" s="24">
        <f>Tabela25456[[#This Row],[Total Remunerações]]-Tabela25456[[#This Row],[Total Descontos]]</f>
        <v>5757.9399999999987</v>
      </c>
      <c r="U23" s="52">
        <v>0</v>
      </c>
      <c r="V23" s="1"/>
      <c r="AB23" s="1"/>
    </row>
    <row r="24" spans="1:28" ht="30" customHeight="1" x14ac:dyDescent="0.2">
      <c r="A24" s="15">
        <v>392</v>
      </c>
      <c r="B24" s="16" t="s">
        <v>23</v>
      </c>
      <c r="C24" s="17" t="s">
        <v>108</v>
      </c>
      <c r="D24" s="18" t="s">
        <v>107</v>
      </c>
      <c r="E24" s="19" t="s">
        <v>20</v>
      </c>
      <c r="F24" s="20" t="s">
        <v>106</v>
      </c>
      <c r="G24" s="21">
        <v>45120</v>
      </c>
      <c r="H24" s="17" t="s">
        <v>35</v>
      </c>
      <c r="I24" s="22">
        <v>11362.24</v>
      </c>
      <c r="J24" s="22">
        <v>0</v>
      </c>
      <c r="K24" s="22">
        <f>1641.21+153.12</f>
        <v>1794.33</v>
      </c>
      <c r="L24" s="22">
        <v>0</v>
      </c>
      <c r="M24" s="23">
        <v>0</v>
      </c>
      <c r="N24" s="24">
        <f t="shared" si="0"/>
        <v>13156.57</v>
      </c>
      <c r="O24" s="23">
        <v>908.85</v>
      </c>
      <c r="P24" s="23">
        <v>2020.79</v>
      </c>
      <c r="Q24" s="23">
        <f>153.12+1443.91+44.18</f>
        <v>1641.2100000000003</v>
      </c>
      <c r="R24" s="23">
        <f>21.79+91.41</f>
        <v>113.19999999999999</v>
      </c>
      <c r="S24" s="24">
        <f t="shared" si="1"/>
        <v>4684.05</v>
      </c>
      <c r="T24" s="24">
        <f>Tabela25456[[#This Row],[Total Remunerações]]-Tabela25456[[#This Row],[Total Descontos]]</f>
        <v>8472.52</v>
      </c>
      <c r="U24" s="52">
        <v>1040.27</v>
      </c>
      <c r="V24" s="1"/>
      <c r="AB24" s="1"/>
    </row>
    <row r="25" spans="1:28" ht="30" customHeight="1" x14ac:dyDescent="0.2">
      <c r="A25" s="15">
        <v>91</v>
      </c>
      <c r="B25" s="16" t="s">
        <v>23</v>
      </c>
      <c r="C25" s="17" t="s">
        <v>105</v>
      </c>
      <c r="D25" s="18" t="s">
        <v>104</v>
      </c>
      <c r="E25" s="19" t="s">
        <v>103</v>
      </c>
      <c r="F25" s="25" t="s">
        <v>32</v>
      </c>
      <c r="G25" s="21">
        <v>45033</v>
      </c>
      <c r="H25" s="17" t="s">
        <v>35</v>
      </c>
      <c r="I25" s="22">
        <v>13416.46</v>
      </c>
      <c r="J25" s="22">
        <v>0</v>
      </c>
      <c r="K25" s="22">
        <v>0</v>
      </c>
      <c r="L25" s="22">
        <v>0</v>
      </c>
      <c r="M25" s="23">
        <v>0</v>
      </c>
      <c r="N25" s="24">
        <f t="shared" si="0"/>
        <v>13416.46</v>
      </c>
      <c r="O25" s="23">
        <v>908.85</v>
      </c>
      <c r="P25" s="23">
        <v>2439.3200000000002</v>
      </c>
      <c r="Q25" s="23">
        <v>0</v>
      </c>
      <c r="R25" s="23">
        <v>0</v>
      </c>
      <c r="S25" s="24">
        <f t="shared" si="1"/>
        <v>3348.17</v>
      </c>
      <c r="T25" s="24">
        <f>Tabela25456[[#This Row],[Total Remunerações]]-Tabela25456[[#This Row],[Total Descontos]]</f>
        <v>10068.289999999999</v>
      </c>
      <c r="U25" s="52">
        <v>1073.31</v>
      </c>
      <c r="V25" s="1"/>
      <c r="AB25" s="1"/>
    </row>
    <row r="26" spans="1:28" ht="30" customHeight="1" x14ac:dyDescent="0.2">
      <c r="A26" s="15">
        <v>395</v>
      </c>
      <c r="B26" s="16" t="s">
        <v>23</v>
      </c>
      <c r="C26" s="17" t="s">
        <v>102</v>
      </c>
      <c r="D26" s="18" t="s">
        <v>101</v>
      </c>
      <c r="E26" s="19" t="s">
        <v>100</v>
      </c>
      <c r="F26" s="20" t="s">
        <v>99</v>
      </c>
      <c r="G26" s="21">
        <v>45163</v>
      </c>
      <c r="H26" s="17" t="s">
        <v>52</v>
      </c>
      <c r="I26" s="22">
        <v>6253.03</v>
      </c>
      <c r="J26" s="22">
        <v>0</v>
      </c>
      <c r="K26" s="22">
        <v>0</v>
      </c>
      <c r="L26" s="22">
        <v>0</v>
      </c>
      <c r="M26" s="23">
        <v>0</v>
      </c>
      <c r="N26" s="24">
        <f t="shared" si="0"/>
        <v>6253.03</v>
      </c>
      <c r="O26" s="23">
        <v>694.24</v>
      </c>
      <c r="P26" s="23">
        <v>632.66999999999996</v>
      </c>
      <c r="Q26" s="23">
        <v>0</v>
      </c>
      <c r="R26" s="23">
        <v>79.05</v>
      </c>
      <c r="S26" s="24">
        <f t="shared" si="1"/>
        <v>1405.9599999999998</v>
      </c>
      <c r="T26" s="24">
        <f>Tabela25456[[#This Row],[Total Remunerações]]-Tabela25456[[#This Row],[Total Descontos]]</f>
        <v>4847.07</v>
      </c>
      <c r="U26" s="52">
        <v>500.24</v>
      </c>
      <c r="V26" s="1"/>
      <c r="AB26" s="1"/>
    </row>
    <row r="27" spans="1:28" ht="30" customHeight="1" x14ac:dyDescent="0.2">
      <c r="A27" s="15">
        <v>394</v>
      </c>
      <c r="B27" s="16" t="s">
        <v>23</v>
      </c>
      <c r="C27" s="17" t="s">
        <v>98</v>
      </c>
      <c r="D27" s="18" t="s">
        <v>97</v>
      </c>
      <c r="E27" s="19" t="s">
        <v>20</v>
      </c>
      <c r="F27" s="20" t="s">
        <v>96</v>
      </c>
      <c r="G27" s="21">
        <v>45120</v>
      </c>
      <c r="H27" s="17" t="s">
        <v>70</v>
      </c>
      <c r="I27" s="22">
        <v>8521.7199999999993</v>
      </c>
      <c r="J27" s="22">
        <v>0</v>
      </c>
      <c r="K27" s="22">
        <v>0</v>
      </c>
      <c r="L27" s="22">
        <v>0</v>
      </c>
      <c r="M27" s="23">
        <v>0</v>
      </c>
      <c r="N27" s="24">
        <f t="shared" si="0"/>
        <v>8521.7199999999993</v>
      </c>
      <c r="O27" s="22">
        <v>908.85</v>
      </c>
      <c r="P27" s="22">
        <v>1041.1300000000001</v>
      </c>
      <c r="Q27" s="22">
        <v>0</v>
      </c>
      <c r="R27" s="22">
        <f>185.2+753.61</f>
        <v>938.81</v>
      </c>
      <c r="S27" s="24">
        <f t="shared" si="1"/>
        <v>2888.79</v>
      </c>
      <c r="T27" s="24">
        <f>Tabela25456[[#This Row],[Total Remunerações]]-Tabela25456[[#This Row],[Total Descontos]]</f>
        <v>5632.9299999999994</v>
      </c>
      <c r="U27" s="52">
        <v>681.73</v>
      </c>
      <c r="V27" s="1"/>
      <c r="AB27" s="1"/>
    </row>
    <row r="28" spans="1:28" ht="30" customHeight="1" x14ac:dyDescent="0.2">
      <c r="A28" s="15">
        <v>359</v>
      </c>
      <c r="B28" s="16" t="s">
        <v>23</v>
      </c>
      <c r="C28" s="17" t="s">
        <v>95</v>
      </c>
      <c r="D28" s="18" t="s">
        <v>94</v>
      </c>
      <c r="E28" s="19" t="s">
        <v>40</v>
      </c>
      <c r="F28" s="25" t="s">
        <v>32</v>
      </c>
      <c r="G28" s="21">
        <v>44263</v>
      </c>
      <c r="H28" s="17" t="s">
        <v>24</v>
      </c>
      <c r="I28" s="22">
        <v>4345.4399999999996</v>
      </c>
      <c r="J28" s="22">
        <v>0</v>
      </c>
      <c r="K28" s="22">
        <v>0</v>
      </c>
      <c r="L28" s="22">
        <v>0</v>
      </c>
      <c r="M28" s="23">
        <v>1000</v>
      </c>
      <c r="N28" s="24">
        <f t="shared" si="0"/>
        <v>5345.44</v>
      </c>
      <c r="O28" s="22">
        <v>567.16999999999996</v>
      </c>
      <c r="P28" s="22">
        <v>418.02</v>
      </c>
      <c r="Q28" s="22">
        <v>0</v>
      </c>
      <c r="R28" s="22">
        <f>41.21+26.35</f>
        <v>67.56</v>
      </c>
      <c r="S28" s="24">
        <f t="shared" si="1"/>
        <v>1052.75</v>
      </c>
      <c r="T28" s="24">
        <f>Tabela25456[[#This Row],[Total Remunerações]]-Tabela25456[[#This Row],[Total Descontos]]</f>
        <v>4292.6899999999996</v>
      </c>
      <c r="U28" s="52">
        <v>427.63</v>
      </c>
      <c r="V28" s="1"/>
      <c r="AB28" s="1"/>
    </row>
    <row r="29" spans="1:28" ht="30" customHeight="1" x14ac:dyDescent="0.2">
      <c r="A29" s="15">
        <v>373</v>
      </c>
      <c r="B29" s="16" t="s">
        <v>23</v>
      </c>
      <c r="C29" s="17" t="s">
        <v>93</v>
      </c>
      <c r="D29" s="18" t="s">
        <v>92</v>
      </c>
      <c r="E29" s="19" t="s">
        <v>91</v>
      </c>
      <c r="F29" s="20" t="s">
        <v>90</v>
      </c>
      <c r="G29" s="21">
        <v>44838</v>
      </c>
      <c r="H29" s="17" t="s">
        <v>52</v>
      </c>
      <c r="I29" s="22">
        <v>6253.03</v>
      </c>
      <c r="J29" s="22">
        <v>0</v>
      </c>
      <c r="K29" s="22">
        <v>0</v>
      </c>
      <c r="L29" s="22">
        <v>0</v>
      </c>
      <c r="M29" s="23">
        <v>0</v>
      </c>
      <c r="N29" s="24">
        <f t="shared" si="0"/>
        <v>6253.03</v>
      </c>
      <c r="O29" s="22">
        <v>694.24</v>
      </c>
      <c r="P29" s="22">
        <v>632.66999999999996</v>
      </c>
      <c r="Q29" s="22">
        <v>0</v>
      </c>
      <c r="R29" s="22">
        <v>0</v>
      </c>
      <c r="S29" s="24">
        <f t="shared" si="1"/>
        <v>1326.9099999999999</v>
      </c>
      <c r="T29" s="24">
        <f>Tabela25456[[#This Row],[Total Remunerações]]-Tabela25456[[#This Row],[Total Descontos]]</f>
        <v>4926.12</v>
      </c>
      <c r="U29" s="52">
        <v>500.24</v>
      </c>
      <c r="V29" s="1"/>
      <c r="AB29" s="1"/>
    </row>
    <row r="30" spans="1:28" ht="30" customHeight="1" x14ac:dyDescent="0.2">
      <c r="A30" s="15">
        <v>386</v>
      </c>
      <c r="B30" s="16" t="s">
        <v>23</v>
      </c>
      <c r="C30" s="17" t="s">
        <v>89</v>
      </c>
      <c r="D30" s="18" t="s">
        <v>64</v>
      </c>
      <c r="E30" s="19" t="s">
        <v>20</v>
      </c>
      <c r="F30" s="20" t="s">
        <v>88</v>
      </c>
      <c r="G30" s="21">
        <v>45106</v>
      </c>
      <c r="H30" s="17" t="s">
        <v>61</v>
      </c>
      <c r="I30" s="22">
        <v>6253.03</v>
      </c>
      <c r="J30" s="22">
        <v>0</v>
      </c>
      <c r="K30" s="22">
        <v>0</v>
      </c>
      <c r="L30" s="22">
        <v>0</v>
      </c>
      <c r="M30" s="23">
        <v>0</v>
      </c>
      <c r="N30" s="24">
        <f t="shared" si="0"/>
        <v>6253.03</v>
      </c>
      <c r="O30" s="22">
        <v>694.24</v>
      </c>
      <c r="P30" s="22">
        <v>632.66999999999996</v>
      </c>
      <c r="Q30" s="22">
        <v>0</v>
      </c>
      <c r="R30" s="22">
        <v>0</v>
      </c>
      <c r="S30" s="24">
        <f t="shared" si="1"/>
        <v>1326.9099999999999</v>
      </c>
      <c r="T30" s="24">
        <f>Tabela25456[[#This Row],[Total Remunerações]]-Tabela25456[[#This Row],[Total Descontos]]</f>
        <v>4926.12</v>
      </c>
      <c r="U30" s="52">
        <v>500.24</v>
      </c>
      <c r="V30" s="1"/>
      <c r="AB30" s="1"/>
    </row>
    <row r="31" spans="1:28" ht="30" customHeight="1" x14ac:dyDescent="0.2">
      <c r="A31" s="15">
        <v>384</v>
      </c>
      <c r="B31" s="16" t="s">
        <v>23</v>
      </c>
      <c r="C31" s="17" t="s">
        <v>87</v>
      </c>
      <c r="D31" s="18" t="s">
        <v>86</v>
      </c>
      <c r="E31" s="19" t="s">
        <v>85</v>
      </c>
      <c r="F31" s="20" t="s">
        <v>84</v>
      </c>
      <c r="G31" s="21">
        <v>44938</v>
      </c>
      <c r="H31" s="17" t="s">
        <v>24</v>
      </c>
      <c r="I31" s="22">
        <v>2356.25</v>
      </c>
      <c r="J31" s="22">
        <v>0</v>
      </c>
      <c r="K31" s="22">
        <v>0</v>
      </c>
      <c r="L31" s="22">
        <v>0</v>
      </c>
      <c r="M31" s="22">
        <v>2500</v>
      </c>
      <c r="N31" s="24">
        <f t="shared" si="0"/>
        <v>4856.25</v>
      </c>
      <c r="O31" s="22">
        <v>498.69</v>
      </c>
      <c r="P31" s="22">
        <v>302.81</v>
      </c>
      <c r="Q31" s="22">
        <v>0</v>
      </c>
      <c r="R31" s="22">
        <v>0</v>
      </c>
      <c r="S31" s="24">
        <f t="shared" si="1"/>
        <v>801.5</v>
      </c>
      <c r="T31" s="24">
        <f>Tabela25456[[#This Row],[Total Remunerações]]-Tabela25456[[#This Row],[Total Descontos]]</f>
        <v>4054.75</v>
      </c>
      <c r="U31" s="52">
        <v>388.5</v>
      </c>
      <c r="V31" s="1"/>
      <c r="AB31" s="1"/>
    </row>
    <row r="32" spans="1:28" ht="30" customHeight="1" x14ac:dyDescent="0.2">
      <c r="A32" s="15">
        <v>402</v>
      </c>
      <c r="B32" s="16" t="s">
        <v>23</v>
      </c>
      <c r="C32" s="17" t="s">
        <v>83</v>
      </c>
      <c r="D32" s="18" t="s">
        <v>82</v>
      </c>
      <c r="E32" s="19" t="s">
        <v>81</v>
      </c>
      <c r="F32" s="20" t="s">
        <v>80</v>
      </c>
      <c r="G32" s="21">
        <v>45488</v>
      </c>
      <c r="H32" s="17" t="s">
        <v>70</v>
      </c>
      <c r="I32" s="22">
        <v>6253.03</v>
      </c>
      <c r="J32" s="22">
        <v>0</v>
      </c>
      <c r="K32" s="22">
        <v>0</v>
      </c>
      <c r="L32" s="22">
        <v>0</v>
      </c>
      <c r="M32" s="22">
        <v>0</v>
      </c>
      <c r="N32" s="24">
        <f t="shared" si="0"/>
        <v>6253.03</v>
      </c>
      <c r="O32" s="22">
        <v>694.24</v>
      </c>
      <c r="P32" s="22">
        <v>580.53</v>
      </c>
      <c r="Q32" s="22">
        <v>0</v>
      </c>
      <c r="R32" s="22">
        <v>0</v>
      </c>
      <c r="S32" s="24">
        <f t="shared" si="1"/>
        <v>1274.77</v>
      </c>
      <c r="T32" s="24">
        <f>Tabela25456[[#This Row],[Total Remunerações]]-Tabela25456[[#This Row],[Total Descontos]]</f>
        <v>4978.26</v>
      </c>
      <c r="U32" s="52">
        <v>500.24</v>
      </c>
      <c r="V32" s="1"/>
      <c r="AB32" s="1"/>
    </row>
    <row r="33" spans="1:28" ht="30" customHeight="1" x14ac:dyDescent="0.2">
      <c r="A33" s="15">
        <v>1</v>
      </c>
      <c r="B33" s="16" t="s">
        <v>28</v>
      </c>
      <c r="C33" s="17" t="s">
        <v>79</v>
      </c>
      <c r="D33" s="18" t="s">
        <v>78</v>
      </c>
      <c r="E33" s="19" t="s">
        <v>25</v>
      </c>
      <c r="F33" s="19" t="s">
        <v>0</v>
      </c>
      <c r="G33" s="21">
        <v>32084</v>
      </c>
      <c r="H33" s="17" t="s">
        <v>18</v>
      </c>
      <c r="I33" s="22">
        <v>2002.05</v>
      </c>
      <c r="J33" s="22">
        <v>0</v>
      </c>
      <c r="K33" s="22">
        <v>0</v>
      </c>
      <c r="L33" s="22">
        <v>600.61</v>
      </c>
      <c r="M33" s="22">
        <v>0</v>
      </c>
      <c r="N33" s="24">
        <f t="shared" si="0"/>
        <v>2602.66</v>
      </c>
      <c r="O33" s="22">
        <v>213.05</v>
      </c>
      <c r="P33" s="22">
        <v>0</v>
      </c>
      <c r="Q33" s="22">
        <v>0</v>
      </c>
      <c r="R33" s="22">
        <f>26.35+1313.45</f>
        <v>1339.8</v>
      </c>
      <c r="S33" s="24">
        <f t="shared" si="1"/>
        <v>1552.85</v>
      </c>
      <c r="T33" s="24">
        <f>Tabela25456[[#This Row],[Total Remunerações]]-Tabela25456[[#This Row],[Total Descontos]]</f>
        <v>1049.81</v>
      </c>
      <c r="U33" s="52">
        <v>208.21</v>
      </c>
      <c r="V33" s="1"/>
      <c r="AB33" s="1"/>
    </row>
    <row r="34" spans="1:28" ht="30" customHeight="1" x14ac:dyDescent="0.2">
      <c r="A34" s="15">
        <v>363</v>
      </c>
      <c r="B34" s="16" t="s">
        <v>23</v>
      </c>
      <c r="C34" s="17" t="s">
        <v>77</v>
      </c>
      <c r="D34" s="18" t="s">
        <v>76</v>
      </c>
      <c r="E34" s="19" t="s">
        <v>20</v>
      </c>
      <c r="F34" s="20" t="s">
        <v>75</v>
      </c>
      <c r="G34" s="21">
        <v>44743</v>
      </c>
      <c r="H34" s="17" t="s">
        <v>61</v>
      </c>
      <c r="I34" s="22">
        <v>3024</v>
      </c>
      <c r="J34" s="22">
        <v>0</v>
      </c>
      <c r="K34" s="22">
        <v>1008</v>
      </c>
      <c r="L34" s="22">
        <v>0</v>
      </c>
      <c r="M34" s="22">
        <v>0</v>
      </c>
      <c r="N34" s="24">
        <f t="shared" si="0"/>
        <v>4032</v>
      </c>
      <c r="O34" s="22">
        <f>261.69+46</f>
        <v>307.69</v>
      </c>
      <c r="P34" s="22">
        <v>15</v>
      </c>
      <c r="Q34" s="22">
        <f>75.6+932.4</f>
        <v>1008</v>
      </c>
      <c r="R34" s="22">
        <v>0</v>
      </c>
      <c r="S34" s="24">
        <f t="shared" si="1"/>
        <v>1330.69</v>
      </c>
      <c r="T34" s="24">
        <f>Tabela25456[[#This Row],[Total Remunerações]]-Tabela25456[[#This Row],[Total Descontos]]</f>
        <v>2701.31</v>
      </c>
      <c r="U34" s="52">
        <v>322.56</v>
      </c>
      <c r="V34" s="1"/>
      <c r="AB34" s="1"/>
    </row>
    <row r="35" spans="1:28" ht="30" customHeight="1" x14ac:dyDescent="0.2">
      <c r="A35" s="15">
        <v>385</v>
      </c>
      <c r="B35" s="16" t="s">
        <v>23</v>
      </c>
      <c r="C35" s="17" t="s">
        <v>74</v>
      </c>
      <c r="D35" s="18" t="s">
        <v>73</v>
      </c>
      <c r="E35" s="19" t="s">
        <v>72</v>
      </c>
      <c r="F35" s="20" t="s">
        <v>71</v>
      </c>
      <c r="G35" s="21">
        <v>45097</v>
      </c>
      <c r="H35" s="17" t="s">
        <v>70</v>
      </c>
      <c r="I35" s="22">
        <v>6253.03</v>
      </c>
      <c r="J35" s="22">
        <v>0</v>
      </c>
      <c r="K35" s="22">
        <v>0</v>
      </c>
      <c r="L35" s="22">
        <v>0</v>
      </c>
      <c r="M35" s="22">
        <v>0</v>
      </c>
      <c r="N35" s="24">
        <f t="shared" si="0"/>
        <v>6253.03</v>
      </c>
      <c r="O35" s="22">
        <v>694.24</v>
      </c>
      <c r="P35" s="22">
        <v>580.53</v>
      </c>
      <c r="Q35" s="22">
        <v>0</v>
      </c>
      <c r="R35" s="22">
        <f>563.43+375.96</f>
        <v>939.38999999999987</v>
      </c>
      <c r="S35" s="24">
        <f t="shared" si="1"/>
        <v>2214.16</v>
      </c>
      <c r="T35" s="24">
        <f>Tabela25456[[#This Row],[Total Remunerações]]-Tabela25456[[#This Row],[Total Descontos]]</f>
        <v>4038.87</v>
      </c>
      <c r="U35" s="52">
        <v>500.24</v>
      </c>
      <c r="V35" s="1"/>
      <c r="AB35" s="1"/>
    </row>
    <row r="36" spans="1:28" ht="30" customHeight="1" x14ac:dyDescent="0.2">
      <c r="A36" s="15">
        <v>401</v>
      </c>
      <c r="B36" s="16" t="s">
        <v>23</v>
      </c>
      <c r="C36" s="17" t="s">
        <v>69</v>
      </c>
      <c r="D36" s="18" t="s">
        <v>68</v>
      </c>
      <c r="E36" s="19" t="s">
        <v>67</v>
      </c>
      <c r="F36" s="20" t="s">
        <v>66</v>
      </c>
      <c r="G36" s="21">
        <v>45478</v>
      </c>
      <c r="H36" s="17" t="s">
        <v>35</v>
      </c>
      <c r="I36" s="22">
        <v>4345.32</v>
      </c>
      <c r="J36" s="22">
        <v>0</v>
      </c>
      <c r="K36" s="22">
        <v>0</v>
      </c>
      <c r="L36" s="22">
        <v>0</v>
      </c>
      <c r="M36" s="22">
        <v>0</v>
      </c>
      <c r="N36" s="24">
        <f t="shared" si="0"/>
        <v>4345.32</v>
      </c>
      <c r="O36" s="22">
        <v>427.16</v>
      </c>
      <c r="P36" s="22">
        <v>120.97</v>
      </c>
      <c r="Q36" s="22">
        <v>0</v>
      </c>
      <c r="R36" s="22">
        <v>732.93</v>
      </c>
      <c r="S36" s="24">
        <f t="shared" si="1"/>
        <v>1281.06</v>
      </c>
      <c r="T36" s="24">
        <f>Tabela25456[[#This Row],[Total Remunerações]]-Tabela25456[[#This Row],[Total Descontos]]</f>
        <v>3064.2599999999998</v>
      </c>
      <c r="U36" s="52">
        <v>347.62</v>
      </c>
      <c r="V36" s="1"/>
      <c r="AB36" s="1"/>
    </row>
    <row r="37" spans="1:28" ht="30" customHeight="1" x14ac:dyDescent="0.2">
      <c r="A37" s="15">
        <v>371</v>
      </c>
      <c r="B37" s="16" t="s">
        <v>23</v>
      </c>
      <c r="C37" s="17" t="s">
        <v>65</v>
      </c>
      <c r="D37" s="18" t="s">
        <v>64</v>
      </c>
      <c r="E37" s="19" t="s">
        <v>63</v>
      </c>
      <c r="F37" s="20" t="s">
        <v>62</v>
      </c>
      <c r="G37" s="21">
        <v>44791</v>
      </c>
      <c r="H37" s="17" t="s">
        <v>61</v>
      </c>
      <c r="I37" s="22">
        <v>0</v>
      </c>
      <c r="J37" s="22">
        <v>6253.03</v>
      </c>
      <c r="K37" s="22">
        <v>0</v>
      </c>
      <c r="L37" s="22">
        <v>0</v>
      </c>
      <c r="M37" s="22">
        <v>0</v>
      </c>
      <c r="N37" s="24">
        <f t="shared" si="0"/>
        <v>6253.03</v>
      </c>
      <c r="O37" s="22">
        <v>694.24</v>
      </c>
      <c r="P37" s="22">
        <v>580.53</v>
      </c>
      <c r="Q37" s="22">
        <v>0</v>
      </c>
      <c r="R37" s="22">
        <v>0</v>
      </c>
      <c r="S37" s="24">
        <f t="shared" si="1"/>
        <v>1274.77</v>
      </c>
      <c r="T37" s="24">
        <f>Tabela25456[[#This Row],[Total Remunerações]]-Tabela25456[[#This Row],[Total Descontos]]</f>
        <v>4978.26</v>
      </c>
      <c r="U37" s="52">
        <v>500.24</v>
      </c>
      <c r="V37" s="1"/>
      <c r="AB37" s="1"/>
    </row>
    <row r="38" spans="1:28" ht="30" customHeight="1" x14ac:dyDescent="0.2">
      <c r="A38" s="15">
        <v>400</v>
      </c>
      <c r="B38" s="16" t="s">
        <v>23</v>
      </c>
      <c r="C38" s="17" t="s">
        <v>60</v>
      </c>
      <c r="D38" s="18" t="s">
        <v>59</v>
      </c>
      <c r="E38" s="19" t="s">
        <v>58</v>
      </c>
      <c r="F38" s="20" t="s">
        <v>57</v>
      </c>
      <c r="G38" s="21">
        <v>45446</v>
      </c>
      <c r="H38" s="17" t="s">
        <v>18</v>
      </c>
      <c r="I38" s="22">
        <v>2706.26</v>
      </c>
      <c r="J38" s="22">
        <v>0</v>
      </c>
      <c r="K38" s="22">
        <v>0</v>
      </c>
      <c r="L38" s="22">
        <v>0</v>
      </c>
      <c r="M38" s="22">
        <v>0</v>
      </c>
      <c r="N38" s="24">
        <f t="shared" si="0"/>
        <v>2706.26</v>
      </c>
      <c r="O38" s="22">
        <v>223.56</v>
      </c>
      <c r="P38" s="22">
        <v>0</v>
      </c>
      <c r="Q38" s="22">
        <v>0</v>
      </c>
      <c r="R38" s="22">
        <v>26.35</v>
      </c>
      <c r="S38" s="24">
        <f t="shared" si="1"/>
        <v>249.91</v>
      </c>
      <c r="T38" s="24">
        <f>Tabela25456[[#This Row],[Total Remunerações]]-Tabela25456[[#This Row],[Total Descontos]]</f>
        <v>2456.3500000000004</v>
      </c>
      <c r="U38" s="52">
        <v>216.5</v>
      </c>
      <c r="V38" s="1"/>
      <c r="AB38" s="1"/>
    </row>
    <row r="39" spans="1:28" ht="30" customHeight="1" x14ac:dyDescent="0.2">
      <c r="A39" s="15">
        <v>398</v>
      </c>
      <c r="B39" s="16" t="s">
        <v>23</v>
      </c>
      <c r="C39" s="17" t="s">
        <v>56</v>
      </c>
      <c r="D39" s="18" t="s">
        <v>55</v>
      </c>
      <c r="E39" s="19" t="s">
        <v>54</v>
      </c>
      <c r="F39" s="20" t="s">
        <v>53</v>
      </c>
      <c r="G39" s="21">
        <v>45306</v>
      </c>
      <c r="H39" s="17" t="s">
        <v>52</v>
      </c>
      <c r="I39" s="22">
        <v>6253.03</v>
      </c>
      <c r="J39" s="22">
        <v>0</v>
      </c>
      <c r="K39" s="22">
        <v>0</v>
      </c>
      <c r="L39" s="22">
        <v>0</v>
      </c>
      <c r="M39" s="22">
        <v>0</v>
      </c>
      <c r="N39" s="24">
        <f t="shared" si="0"/>
        <v>6253.03</v>
      </c>
      <c r="O39" s="22">
        <v>694.24</v>
      </c>
      <c r="P39" s="22">
        <v>632.66999999999996</v>
      </c>
      <c r="Q39" s="22">
        <v>0</v>
      </c>
      <c r="R39" s="22">
        <v>320.33</v>
      </c>
      <c r="S39" s="24">
        <f t="shared" si="1"/>
        <v>1647.2399999999998</v>
      </c>
      <c r="T39" s="24">
        <f>Tabela25456[[#This Row],[Total Remunerações]]-Tabela25456[[#This Row],[Total Descontos]]</f>
        <v>4605.79</v>
      </c>
      <c r="U39" s="52">
        <v>500.24</v>
      </c>
      <c r="V39" s="1"/>
      <c r="AB39" s="1"/>
    </row>
    <row r="40" spans="1:28" ht="30" customHeight="1" x14ac:dyDescent="0.2">
      <c r="A40" s="15">
        <v>381</v>
      </c>
      <c r="B40" s="16" t="s">
        <v>23</v>
      </c>
      <c r="C40" s="17" t="s">
        <v>51</v>
      </c>
      <c r="D40" s="18" t="s">
        <v>50</v>
      </c>
      <c r="E40" s="19" t="s">
        <v>49</v>
      </c>
      <c r="F40" s="20" t="s">
        <v>48</v>
      </c>
      <c r="G40" s="21">
        <v>44916</v>
      </c>
      <c r="H40" s="17" t="s">
        <v>35</v>
      </c>
      <c r="I40" s="22">
        <v>12782.51</v>
      </c>
      <c r="J40" s="22">
        <v>0</v>
      </c>
      <c r="K40" s="22">
        <v>0</v>
      </c>
      <c r="L40" s="22">
        <v>0</v>
      </c>
      <c r="M40" s="22">
        <v>0</v>
      </c>
      <c r="N40" s="24">
        <f t="shared" si="0"/>
        <v>12782.51</v>
      </c>
      <c r="O40" s="22">
        <v>908.85</v>
      </c>
      <c r="P40" s="22">
        <v>2369.2600000000002</v>
      </c>
      <c r="Q40" s="22">
        <v>0</v>
      </c>
      <c r="R40" s="22">
        <v>26.35</v>
      </c>
      <c r="S40" s="24">
        <f t="shared" si="1"/>
        <v>3304.46</v>
      </c>
      <c r="T40" s="24">
        <f>Tabela25456[[#This Row],[Total Remunerações]]-Tabela25456[[#This Row],[Total Descontos]]</f>
        <v>9478.0499999999993</v>
      </c>
      <c r="U40" s="52">
        <v>1022.6</v>
      </c>
      <c r="V40" s="1"/>
      <c r="AB40" s="1"/>
    </row>
    <row r="41" spans="1:28" ht="30" customHeight="1" x14ac:dyDescent="0.2">
      <c r="A41" s="15">
        <v>24</v>
      </c>
      <c r="B41" s="16" t="s">
        <v>28</v>
      </c>
      <c r="C41" s="17" t="s">
        <v>47</v>
      </c>
      <c r="D41" s="18" t="s">
        <v>46</v>
      </c>
      <c r="E41" s="19" t="s">
        <v>45</v>
      </c>
      <c r="F41" s="19" t="s">
        <v>0</v>
      </c>
      <c r="G41" s="21">
        <v>34881</v>
      </c>
      <c r="H41" s="17" t="s">
        <v>35</v>
      </c>
      <c r="I41" s="22">
        <v>5825.91</v>
      </c>
      <c r="J41" s="22">
        <v>0</v>
      </c>
      <c r="K41" s="22">
        <v>0</v>
      </c>
      <c r="L41" s="22">
        <v>1165.18</v>
      </c>
      <c r="M41" s="22">
        <v>2695.81</v>
      </c>
      <c r="N41" s="24">
        <f t="shared" si="0"/>
        <v>9686.9</v>
      </c>
      <c r="O41" s="22">
        <v>908.85</v>
      </c>
      <c r="P41" s="22">
        <v>1517.96</v>
      </c>
      <c r="Q41" s="22">
        <v>0</v>
      </c>
      <c r="R41" s="22">
        <v>0</v>
      </c>
      <c r="S41" s="24">
        <f t="shared" si="1"/>
        <v>2426.81</v>
      </c>
      <c r="T41" s="24">
        <f>Tabela25456[[#This Row],[Total Remunerações]]-Tabela25456[[#This Row],[Total Descontos]]</f>
        <v>7260.09</v>
      </c>
      <c r="U41" s="52">
        <v>774.95</v>
      </c>
      <c r="V41" s="1"/>
      <c r="AB41" s="1"/>
    </row>
    <row r="42" spans="1:28" ht="30" customHeight="1" x14ac:dyDescent="0.2">
      <c r="A42" s="15">
        <v>388</v>
      </c>
      <c r="B42" s="16" t="s">
        <v>23</v>
      </c>
      <c r="C42" s="17" t="s">
        <v>44</v>
      </c>
      <c r="D42" s="18" t="s">
        <v>30</v>
      </c>
      <c r="E42" s="19" t="s">
        <v>20</v>
      </c>
      <c r="F42" s="20" t="s">
        <v>43</v>
      </c>
      <c r="G42" s="21">
        <v>45106</v>
      </c>
      <c r="H42" s="17" t="s">
        <v>18</v>
      </c>
      <c r="I42" s="22">
        <v>3270.75</v>
      </c>
      <c r="J42" s="22">
        <v>0</v>
      </c>
      <c r="K42" s="22">
        <v>0</v>
      </c>
      <c r="L42" s="22">
        <v>0</v>
      </c>
      <c r="M42" s="22">
        <v>0</v>
      </c>
      <c r="N42" s="24">
        <f t="shared" si="0"/>
        <v>3270.75</v>
      </c>
      <c r="O42" s="22">
        <v>291.3</v>
      </c>
      <c r="P42" s="22">
        <v>33.51</v>
      </c>
      <c r="Q42" s="22">
        <v>0</v>
      </c>
      <c r="R42" s="22">
        <f>61.07+376.03</f>
        <v>437.09999999999997</v>
      </c>
      <c r="S42" s="24">
        <f t="shared" si="1"/>
        <v>761.91</v>
      </c>
      <c r="T42" s="24">
        <f>Tabela25456[[#This Row],[Total Remunerações]]-Tabela25456[[#This Row],[Total Descontos]]</f>
        <v>2508.84</v>
      </c>
      <c r="U42" s="52">
        <v>261.56</v>
      </c>
      <c r="V42" s="1"/>
      <c r="AB42" s="1"/>
    </row>
    <row r="43" spans="1:28" ht="30" customHeight="1" x14ac:dyDescent="0.2">
      <c r="A43" s="15">
        <v>357</v>
      </c>
      <c r="B43" s="16" t="s">
        <v>23</v>
      </c>
      <c r="C43" s="17" t="s">
        <v>42</v>
      </c>
      <c r="D43" s="18" t="s">
        <v>41</v>
      </c>
      <c r="E43" s="19" t="s">
        <v>40</v>
      </c>
      <c r="F43" s="25" t="s">
        <v>32</v>
      </c>
      <c r="G43" s="21">
        <v>44249</v>
      </c>
      <c r="H43" s="17" t="s">
        <v>18</v>
      </c>
      <c r="I43" s="22">
        <v>8521.7199999999993</v>
      </c>
      <c r="J43" s="22">
        <v>0</v>
      </c>
      <c r="K43" s="22">
        <f>1230.78+103.87</f>
        <v>1334.65</v>
      </c>
      <c r="L43" s="22">
        <v>0</v>
      </c>
      <c r="M43" s="22">
        <v>0</v>
      </c>
      <c r="N43" s="24">
        <f t="shared" si="0"/>
        <v>9856.369999999999</v>
      </c>
      <c r="O43" s="22">
        <v>908.85</v>
      </c>
      <c r="P43" s="22">
        <v>1226.0999999999999</v>
      </c>
      <c r="Q43" s="22">
        <f>103.87+1126.91</f>
        <v>1230.7800000000002</v>
      </c>
      <c r="R43" s="22">
        <v>91.46</v>
      </c>
      <c r="S43" s="24">
        <f t="shared" si="1"/>
        <v>3457.19</v>
      </c>
      <c r="T43" s="24">
        <f>Tabela25456[[#This Row],[Total Remunerações]]-Tabela25456[[#This Row],[Total Descontos]]</f>
        <v>6399.1799999999985</v>
      </c>
      <c r="U43" s="52">
        <v>780.2</v>
      </c>
      <c r="V43" s="1"/>
      <c r="AB43" s="1"/>
    </row>
    <row r="44" spans="1:28" ht="30" customHeight="1" x14ac:dyDescent="0.2">
      <c r="A44" s="15">
        <v>396</v>
      </c>
      <c r="B44" s="16" t="s">
        <v>23</v>
      </c>
      <c r="C44" s="17" t="s">
        <v>39</v>
      </c>
      <c r="D44" s="18" t="s">
        <v>38</v>
      </c>
      <c r="E44" s="19" t="s">
        <v>37</v>
      </c>
      <c r="F44" s="20" t="s">
        <v>36</v>
      </c>
      <c r="G44" s="21">
        <v>45170</v>
      </c>
      <c r="H44" s="17" t="s">
        <v>35</v>
      </c>
      <c r="I44" s="22">
        <v>1521.72</v>
      </c>
      <c r="J44" s="22">
        <v>0</v>
      </c>
      <c r="K44" s="22">
        <v>338.16</v>
      </c>
      <c r="L44" s="22">
        <v>0</v>
      </c>
      <c r="M44" s="22">
        <v>0</v>
      </c>
      <c r="N44" s="24">
        <f t="shared" si="0"/>
        <v>1859.88</v>
      </c>
      <c r="O44" s="22">
        <f>5.07+115.77</f>
        <v>120.84</v>
      </c>
      <c r="P44" s="22">
        <v>0</v>
      </c>
      <c r="Q44" s="22">
        <f>25.36+312.8</f>
        <v>338.16</v>
      </c>
      <c r="R44" s="22">
        <v>0</v>
      </c>
      <c r="S44" s="24">
        <f t="shared" si="1"/>
        <v>459</v>
      </c>
      <c r="T44" s="24">
        <f>Tabela25456[[#This Row],[Total Remunerações]]-Tabela25456[[#This Row],[Total Descontos]]</f>
        <v>1400.88</v>
      </c>
      <c r="U44" s="52">
        <v>148.79</v>
      </c>
      <c r="V44" s="1"/>
      <c r="AB44" s="1"/>
    </row>
    <row r="45" spans="1:28" ht="30" customHeight="1" x14ac:dyDescent="0.2">
      <c r="A45" s="15">
        <v>355</v>
      </c>
      <c r="B45" s="16" t="s">
        <v>23</v>
      </c>
      <c r="C45" s="17" t="s">
        <v>34</v>
      </c>
      <c r="D45" s="18" t="s">
        <v>30</v>
      </c>
      <c r="E45" s="19" t="s">
        <v>33</v>
      </c>
      <c r="F45" s="25" t="s">
        <v>32</v>
      </c>
      <c r="G45" s="21">
        <v>44228</v>
      </c>
      <c r="H45" s="17" t="s">
        <v>24</v>
      </c>
      <c r="I45" s="22">
        <v>3270.75</v>
      </c>
      <c r="J45" s="22">
        <v>0</v>
      </c>
      <c r="K45" s="22">
        <v>0</v>
      </c>
      <c r="L45" s="22">
        <v>0</v>
      </c>
      <c r="M45" s="22">
        <v>0</v>
      </c>
      <c r="N45" s="24">
        <f t="shared" si="0"/>
        <v>3270.75</v>
      </c>
      <c r="O45" s="22">
        <v>291.3</v>
      </c>
      <c r="P45" s="22">
        <v>33.51</v>
      </c>
      <c r="Q45" s="22">
        <v>0</v>
      </c>
      <c r="R45" s="22">
        <v>242.33</v>
      </c>
      <c r="S45" s="24">
        <f t="shared" si="1"/>
        <v>567.14</v>
      </c>
      <c r="T45" s="24">
        <f>Tabela25456[[#This Row],[Total Remunerações]]-Tabela25456[[#This Row],[Total Descontos]]</f>
        <v>2703.61</v>
      </c>
      <c r="U45" s="52">
        <v>261.66000000000003</v>
      </c>
      <c r="V45" s="1"/>
      <c r="AB45" s="1"/>
    </row>
    <row r="46" spans="1:28" ht="30" customHeight="1" x14ac:dyDescent="0.2">
      <c r="A46" s="15">
        <v>112</v>
      </c>
      <c r="B46" s="16" t="s">
        <v>28</v>
      </c>
      <c r="C46" s="17" t="s">
        <v>31</v>
      </c>
      <c r="D46" s="18" t="s">
        <v>30</v>
      </c>
      <c r="E46" s="19" t="s">
        <v>29</v>
      </c>
      <c r="F46" s="19" t="s">
        <v>0</v>
      </c>
      <c r="G46" s="21">
        <v>37266</v>
      </c>
      <c r="H46" s="17" t="s">
        <v>18</v>
      </c>
      <c r="I46" s="22">
        <v>2002.05</v>
      </c>
      <c r="J46" s="22">
        <v>0</v>
      </c>
      <c r="K46" s="22">
        <v>0</v>
      </c>
      <c r="L46" s="22">
        <v>0</v>
      </c>
      <c r="M46" s="22">
        <f>1000+1268.7</f>
        <v>2268.6999999999998</v>
      </c>
      <c r="N46" s="24">
        <f t="shared" si="0"/>
        <v>4270.75</v>
      </c>
      <c r="O46" s="22">
        <v>416.72</v>
      </c>
      <c r="P46" s="22">
        <v>174.45</v>
      </c>
      <c r="Q46" s="22">
        <v>0</v>
      </c>
      <c r="R46" s="22">
        <f>82.42+187.86+196.24+196.24</f>
        <v>662.76</v>
      </c>
      <c r="S46" s="24">
        <f t="shared" si="1"/>
        <v>1253.93</v>
      </c>
      <c r="T46" s="24">
        <f>Tabela25456[[#This Row],[Total Remunerações]]-Tabela25456[[#This Row],[Total Descontos]]</f>
        <v>3016.8199999999997</v>
      </c>
      <c r="U46" s="52">
        <v>341.66</v>
      </c>
      <c r="V46" s="1"/>
      <c r="AB46" s="1"/>
    </row>
    <row r="47" spans="1:28" ht="30" customHeight="1" x14ac:dyDescent="0.2">
      <c r="A47" s="15">
        <v>15</v>
      </c>
      <c r="B47" s="16" t="s">
        <v>28</v>
      </c>
      <c r="C47" s="17" t="s">
        <v>27</v>
      </c>
      <c r="D47" s="18" t="s">
        <v>26</v>
      </c>
      <c r="E47" s="19" t="s">
        <v>25</v>
      </c>
      <c r="F47" s="19" t="s">
        <v>0</v>
      </c>
      <c r="G47" s="21">
        <v>34563</v>
      </c>
      <c r="H47" s="17" t="s">
        <v>24</v>
      </c>
      <c r="I47" s="22">
        <v>2002.05</v>
      </c>
      <c r="J47" s="22">
        <v>0</v>
      </c>
      <c r="K47" s="22">
        <v>0</v>
      </c>
      <c r="L47" s="22">
        <v>400.41</v>
      </c>
      <c r="M47" s="22">
        <v>1314.06</v>
      </c>
      <c r="N47" s="24">
        <f t="shared" si="0"/>
        <v>3716.52</v>
      </c>
      <c r="O47" s="22">
        <v>344.8</v>
      </c>
      <c r="P47" s="22">
        <v>91.32</v>
      </c>
      <c r="Q47" s="22">
        <v>0</v>
      </c>
      <c r="R47" s="22">
        <f>26.35+429.26+198.96+100+260.37</f>
        <v>1014.94</v>
      </c>
      <c r="S47" s="24">
        <f t="shared" si="1"/>
        <v>1451.06</v>
      </c>
      <c r="T47" s="24">
        <f>Tabela25456[[#This Row],[Total Remunerações]]-Tabela25456[[#This Row],[Total Descontos]]</f>
        <v>2265.46</v>
      </c>
      <c r="U47" s="52">
        <v>297.32</v>
      </c>
      <c r="V47" s="1"/>
      <c r="AB47" s="1"/>
    </row>
    <row r="48" spans="1:28" ht="30" customHeight="1" x14ac:dyDescent="0.2">
      <c r="A48" s="15">
        <v>387</v>
      </c>
      <c r="B48" s="16" t="s">
        <v>23</v>
      </c>
      <c r="C48" s="17" t="s">
        <v>22</v>
      </c>
      <c r="D48" s="18" t="s">
        <v>21</v>
      </c>
      <c r="E48" s="19" t="s">
        <v>20</v>
      </c>
      <c r="F48" s="20" t="s">
        <v>19</v>
      </c>
      <c r="G48" s="21">
        <v>45106</v>
      </c>
      <c r="H48" s="17" t="s">
        <v>18</v>
      </c>
      <c r="I48" s="22">
        <v>3270.75</v>
      </c>
      <c r="J48" s="22">
        <v>0</v>
      </c>
      <c r="K48" s="22">
        <v>0</v>
      </c>
      <c r="L48" s="22">
        <v>0</v>
      </c>
      <c r="M48" s="22">
        <v>0</v>
      </c>
      <c r="N48" s="24">
        <f t="shared" si="0"/>
        <v>3270.75</v>
      </c>
      <c r="O48" s="22">
        <v>291.3</v>
      </c>
      <c r="P48" s="22">
        <v>33.51</v>
      </c>
      <c r="Q48" s="22">
        <v>0</v>
      </c>
      <c r="R48" s="22">
        <v>286.94</v>
      </c>
      <c r="S48" s="24">
        <f t="shared" si="1"/>
        <v>611.75</v>
      </c>
      <c r="T48" s="24">
        <f>Tabela25456[[#This Row],[Total Remunerações]]-Tabela25456[[#This Row],[Total Descontos]]</f>
        <v>2659</v>
      </c>
      <c r="U48" s="52">
        <v>261.66000000000003</v>
      </c>
      <c r="V48" s="1"/>
      <c r="AB48" s="1"/>
    </row>
    <row r="49" spans="1:28" ht="30" customHeight="1" x14ac:dyDescent="0.2">
      <c r="A49" s="15">
        <v>367</v>
      </c>
      <c r="B49" s="20" t="s">
        <v>6</v>
      </c>
      <c r="C49" s="27" t="s">
        <v>17</v>
      </c>
      <c r="D49" s="18" t="s">
        <v>13</v>
      </c>
      <c r="E49" s="26" t="s">
        <v>12</v>
      </c>
      <c r="F49" s="20" t="s">
        <v>11</v>
      </c>
      <c r="G49" s="20" t="s">
        <v>10</v>
      </c>
      <c r="H49" s="17" t="s">
        <v>9</v>
      </c>
      <c r="I49" s="22">
        <v>2683.3</v>
      </c>
      <c r="J49" s="22">
        <v>0</v>
      </c>
      <c r="K49" s="22">
        <v>0</v>
      </c>
      <c r="L49" s="22">
        <v>0</v>
      </c>
      <c r="M49" s="22">
        <v>0</v>
      </c>
      <c r="N49" s="24">
        <f t="shared" si="0"/>
        <v>2683.3</v>
      </c>
      <c r="O49" s="22">
        <v>295.16000000000003</v>
      </c>
      <c r="P49" s="22">
        <v>0</v>
      </c>
      <c r="Q49" s="22">
        <v>0</v>
      </c>
      <c r="R49" s="22">
        <v>0</v>
      </c>
      <c r="S49" s="24">
        <f t="shared" si="1"/>
        <v>295.16000000000003</v>
      </c>
      <c r="T49" s="24">
        <f>Tabela25456[[#This Row],[Total Remunerações]]-Tabela25456[[#This Row],[Total Descontos]]</f>
        <v>2388.1400000000003</v>
      </c>
      <c r="U49" s="52">
        <v>0</v>
      </c>
      <c r="V49" s="1"/>
      <c r="AB49" s="1"/>
    </row>
    <row r="50" spans="1:28" ht="30" customHeight="1" x14ac:dyDescent="0.2">
      <c r="A50" s="15">
        <v>45</v>
      </c>
      <c r="B50" s="20" t="s">
        <v>6</v>
      </c>
      <c r="C50" s="27" t="s">
        <v>16</v>
      </c>
      <c r="D50" s="18" t="s">
        <v>13</v>
      </c>
      <c r="E50" s="26" t="s">
        <v>12</v>
      </c>
      <c r="F50" s="20" t="s">
        <v>11</v>
      </c>
      <c r="G50" s="20" t="s">
        <v>15</v>
      </c>
      <c r="H50" s="17" t="s">
        <v>9</v>
      </c>
      <c r="I50" s="22">
        <v>2683.3</v>
      </c>
      <c r="J50" s="22">
        <v>0</v>
      </c>
      <c r="K50" s="22">
        <v>0</v>
      </c>
      <c r="L50" s="22">
        <v>0</v>
      </c>
      <c r="M50" s="22">
        <v>0</v>
      </c>
      <c r="N50" s="24">
        <f t="shared" si="0"/>
        <v>2683.3</v>
      </c>
      <c r="O50" s="22">
        <v>295.16000000000003</v>
      </c>
      <c r="P50" s="22">
        <v>0</v>
      </c>
      <c r="Q50" s="22">
        <v>0</v>
      </c>
      <c r="R50" s="22">
        <v>0</v>
      </c>
      <c r="S50" s="24">
        <f t="shared" si="1"/>
        <v>295.16000000000003</v>
      </c>
      <c r="T50" s="24">
        <f>Tabela25456[[#This Row],[Total Remunerações]]-Tabela25456[[#This Row],[Total Descontos]]</f>
        <v>2388.1400000000003</v>
      </c>
      <c r="U50" s="52">
        <v>0</v>
      </c>
      <c r="V50" s="1"/>
      <c r="AB50" s="1"/>
    </row>
    <row r="51" spans="1:28" ht="30" customHeight="1" x14ac:dyDescent="0.2">
      <c r="A51" s="15">
        <v>366</v>
      </c>
      <c r="B51" s="20" t="s">
        <v>6</v>
      </c>
      <c r="C51" s="27" t="s">
        <v>14</v>
      </c>
      <c r="D51" s="18" t="s">
        <v>13</v>
      </c>
      <c r="E51" s="26" t="s">
        <v>12</v>
      </c>
      <c r="F51" s="20" t="s">
        <v>11</v>
      </c>
      <c r="G51" s="20" t="s">
        <v>10</v>
      </c>
      <c r="H51" s="17" t="s">
        <v>9</v>
      </c>
      <c r="I51" s="22">
        <v>2683.3</v>
      </c>
      <c r="J51" s="22">
        <v>0</v>
      </c>
      <c r="K51" s="22">
        <v>0</v>
      </c>
      <c r="L51" s="22">
        <v>0</v>
      </c>
      <c r="M51" s="22">
        <v>0</v>
      </c>
      <c r="N51" s="24">
        <f t="shared" si="0"/>
        <v>2683.3</v>
      </c>
      <c r="O51" s="22">
        <v>295.16000000000003</v>
      </c>
      <c r="P51" s="22">
        <v>0</v>
      </c>
      <c r="Q51" s="22">
        <v>0</v>
      </c>
      <c r="R51" s="22">
        <v>0</v>
      </c>
      <c r="S51" s="24">
        <f t="shared" si="1"/>
        <v>295.16000000000003</v>
      </c>
      <c r="T51" s="24">
        <f>Tabela25456[[#This Row],[Total Remunerações]]-Tabela25456[[#This Row],[Total Descontos]]</f>
        <v>2388.1400000000003</v>
      </c>
      <c r="U51" s="52">
        <v>0</v>
      </c>
      <c r="V51" s="1"/>
      <c r="AB51" s="1"/>
    </row>
    <row r="52" spans="1:28" ht="30" customHeight="1" x14ac:dyDescent="0.2">
      <c r="A52" s="15">
        <v>305</v>
      </c>
      <c r="B52" s="20" t="s">
        <v>6</v>
      </c>
      <c r="C52" s="27" t="s">
        <v>8</v>
      </c>
      <c r="D52" s="18" t="s">
        <v>4</v>
      </c>
      <c r="E52" s="26" t="s">
        <v>3</v>
      </c>
      <c r="F52" s="20" t="s">
        <v>2</v>
      </c>
      <c r="G52" s="21">
        <v>43466</v>
      </c>
      <c r="H52" s="17" t="s">
        <v>1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4">
        <f t="shared" si="0"/>
        <v>0</v>
      </c>
      <c r="O52" s="22">
        <v>0</v>
      </c>
      <c r="P52" s="22">
        <v>0</v>
      </c>
      <c r="Q52" s="22">
        <v>0</v>
      </c>
      <c r="R52" s="22">
        <v>0</v>
      </c>
      <c r="S52" s="24">
        <f t="shared" si="1"/>
        <v>0</v>
      </c>
      <c r="T52" s="24">
        <f>Tabela25456[[#This Row],[Total Remunerações]]-Tabela25456[[#This Row],[Total Descontos]]</f>
        <v>0</v>
      </c>
      <c r="U52" s="52">
        <v>0</v>
      </c>
      <c r="V52" s="1"/>
      <c r="AB52" s="1"/>
    </row>
    <row r="53" spans="1:28" ht="30" customHeight="1" x14ac:dyDescent="0.2">
      <c r="A53" s="15">
        <v>307</v>
      </c>
      <c r="B53" s="20" t="s">
        <v>6</v>
      </c>
      <c r="C53" s="27" t="s">
        <v>7</v>
      </c>
      <c r="D53" s="18" t="s">
        <v>4</v>
      </c>
      <c r="E53" s="26" t="s">
        <v>3</v>
      </c>
      <c r="F53" s="20" t="s">
        <v>2</v>
      </c>
      <c r="G53" s="21">
        <v>44197</v>
      </c>
      <c r="H53" s="17" t="s">
        <v>1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4">
        <f t="shared" si="0"/>
        <v>0</v>
      </c>
      <c r="O53" s="22">
        <v>0</v>
      </c>
      <c r="P53" s="22">
        <v>0</v>
      </c>
      <c r="Q53" s="22">
        <v>0</v>
      </c>
      <c r="R53" s="22">
        <v>0</v>
      </c>
      <c r="S53" s="24">
        <f t="shared" si="1"/>
        <v>0</v>
      </c>
      <c r="T53" s="24">
        <f>Tabela25456[[#This Row],[Total Remunerações]]-Tabela25456[[#This Row],[Total Descontos]]</f>
        <v>0</v>
      </c>
      <c r="U53" s="52">
        <v>0</v>
      </c>
      <c r="V53" s="1"/>
      <c r="AB53" s="1"/>
    </row>
    <row r="54" spans="1:28" ht="30" customHeight="1" thickBot="1" x14ac:dyDescent="0.25">
      <c r="A54" s="38">
        <v>306</v>
      </c>
      <c r="B54" s="39" t="s">
        <v>6</v>
      </c>
      <c r="C54" s="40" t="s">
        <v>5</v>
      </c>
      <c r="D54" s="41" t="s">
        <v>4</v>
      </c>
      <c r="E54" s="42" t="s">
        <v>3</v>
      </c>
      <c r="F54" s="39" t="s">
        <v>2</v>
      </c>
      <c r="G54" s="43">
        <v>43466</v>
      </c>
      <c r="H54" s="44" t="s">
        <v>1</v>
      </c>
      <c r="I54" s="45">
        <v>0</v>
      </c>
      <c r="J54" s="45">
        <v>0</v>
      </c>
      <c r="K54" s="45">
        <v>0</v>
      </c>
      <c r="L54" s="45">
        <v>0</v>
      </c>
      <c r="M54" s="45">
        <v>0</v>
      </c>
      <c r="N54" s="46">
        <f t="shared" si="0"/>
        <v>0</v>
      </c>
      <c r="O54" s="45">
        <v>0</v>
      </c>
      <c r="P54" s="45">
        <v>0</v>
      </c>
      <c r="Q54" s="45">
        <v>0</v>
      </c>
      <c r="R54" s="45">
        <v>0</v>
      </c>
      <c r="S54" s="46">
        <f t="shared" si="1"/>
        <v>0</v>
      </c>
      <c r="T54" s="46">
        <f>Tabela25456[[#This Row],[Total Remunerações]]-Tabela25456[[#This Row],[Total Descontos]]</f>
        <v>0</v>
      </c>
      <c r="U54" s="53">
        <v>0</v>
      </c>
      <c r="V54" s="1"/>
      <c r="AB54" s="1"/>
    </row>
    <row r="55" spans="1:28" s="5" customFormat="1" ht="30" customHeight="1" thickBot="1" x14ac:dyDescent="0.25">
      <c r="A55" s="8" t="s">
        <v>0</v>
      </c>
      <c r="B55" s="8" t="s">
        <v>0</v>
      </c>
      <c r="C55" s="8" t="s">
        <v>0</v>
      </c>
      <c r="D55" s="8" t="s">
        <v>0</v>
      </c>
      <c r="E55" s="8" t="s">
        <v>0</v>
      </c>
      <c r="F55" s="8" t="s">
        <v>0</v>
      </c>
      <c r="G55" s="8" t="s">
        <v>0</v>
      </c>
      <c r="H55" s="8" t="s">
        <v>0</v>
      </c>
      <c r="I55" s="7">
        <f t="shared" ref="I55:U55" si="2">SUBTOTAL(109,I11:I54)</f>
        <v>198238.75999999998</v>
      </c>
      <c r="J55" s="7">
        <f t="shared" si="2"/>
        <v>6253.03</v>
      </c>
      <c r="K55" s="7">
        <f t="shared" si="2"/>
        <v>10995.519999999999</v>
      </c>
      <c r="L55" s="7">
        <f t="shared" si="2"/>
        <v>3233.1800000000003</v>
      </c>
      <c r="M55" s="7">
        <f t="shared" si="2"/>
        <v>24718.920000000002</v>
      </c>
      <c r="N55" s="7">
        <f t="shared" si="2"/>
        <v>243439.40999999997</v>
      </c>
      <c r="O55" s="7">
        <f t="shared" si="2"/>
        <v>23281.759999999995</v>
      </c>
      <c r="P55" s="7">
        <f t="shared" si="2"/>
        <v>23178.289999999994</v>
      </c>
      <c r="Q55" s="7">
        <f t="shared" si="2"/>
        <v>10561.1</v>
      </c>
      <c r="R55" s="7">
        <f t="shared" si="2"/>
        <v>16295.97</v>
      </c>
      <c r="S55" s="7">
        <f t="shared" si="2"/>
        <v>73317.119999999995</v>
      </c>
      <c r="T55" s="7">
        <f t="shared" si="2"/>
        <v>170122.28999999998</v>
      </c>
      <c r="U55" s="6">
        <f t="shared" si="2"/>
        <v>17853.599999999995</v>
      </c>
    </row>
  </sheetData>
  <sheetProtection algorithmName="SHA-512" hashValue="xBYL2pOgeMicQ+OICGgTETMNS8X070egGVZK4kAqIdNoBtLkqULy9X5oJIxNYzJkst42o7khSsWIn1hDCVeqCw==" saltValue="KrshF/b5PP4AC54FfOG5Dg==" spinCount="100000" sheet="1" formatCells="0" formatColumns="0" formatRows="0" insertColumns="0" insertRows="0" insertHyperlinks="0" deleteColumns="0" deleteRows="0" sort="0" autoFilter="0" pivotTables="0"/>
  <mergeCells count="4">
    <mergeCell ref="A4:C4"/>
    <mergeCell ref="A6:C6"/>
    <mergeCell ref="A8:C8"/>
    <mergeCell ref="A2:C2"/>
  </mergeCells>
  <printOptions horizontalCentered="1"/>
  <pageMargins left="0" right="0" top="0.78740157480314965" bottom="0" header="0" footer="0"/>
  <pageSetup paperSize="8" scale="48" orientation="landscape" r:id="rId1"/>
  <headerFooter alignWithMargins="0">
    <oddHeader>&amp;R&amp;G</oddHead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FOLHA PAGAMENTO 08-2024</vt:lpstr>
      <vt:lpstr>'FOLHA PAGAMENTO 08-2024'!Area_de_impressao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Nailton Aparecido Da Silva</dc:creator>
  <cp:lastModifiedBy>Sandra Maria Ottaiano</cp:lastModifiedBy>
  <dcterms:created xsi:type="dcterms:W3CDTF">2024-09-20T16:42:14Z</dcterms:created>
  <dcterms:modified xsi:type="dcterms:W3CDTF">2024-09-20T18:06:30Z</dcterms:modified>
</cp:coreProperties>
</file>